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88" yWindow="65468" windowWidth="13802" windowHeight="10882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<sst xmlns="http://schemas.openxmlformats.org/spreadsheetml/2006/main" count="165" uniqueCount="113">
  <si>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</si>
  <si>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</si>
  <si>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</si>
  <si>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</si>
  <si>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</si>
  <si>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</si>
  <si>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</si>
  <si>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</si>
  <si>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</si>
  <si>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</si>
  <si>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</si>
  <si>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</si>
  <si>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</si>
  <si>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</si>
  <si>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</si>
  <si>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</si>
  <si>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</si>
  <si>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</si>
  <si>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</si>
  <si>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</si>
  <si>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</si>
  <si>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</si>
  <si>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</si>
  <si>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</si>
  <si>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</si>
  <si>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</si>
  <si>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</si>
  <si>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</si>
  <si>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</si>
  <si>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</si>
  <si>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</si>
  <si>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</si>
  <si>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</si>
  <si>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</si>
  <si>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</si>
  <si>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</si>
  <si>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</si>
  <si>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</si>
  <si>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</si>
  <si>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</si>
  <si>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</si>
  <si>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</si>
  <si>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</si>
  <si>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</si>
  <si>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</si>
  <si>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</si>
  <si>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</si>
  <si>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</si>
  <si>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</si>
  <si>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</si>
  <si>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</si>
  <si>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</si>
  <si>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</si>
  <si>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</si>
  <si>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</si>
  <si>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</si>
  <si>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</si>
  <si>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</si>
  <si>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</si>
  <si>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</si>
  <si>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</si>
  <si>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</si>
  <si>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</si>
  <si>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</si>
  <si>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</si>
  <si>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</si>
  <si>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</si>
  <si>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</si>
  <si>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</si>
  <si>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</si>
  <si>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</si>
  <si>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</si>
  <si>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</si>
  <si>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</si>
  <si>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</si>
  <si>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</si>
  <si>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</si>
  <si>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</si>
  <si>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</si>
  <si>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</si>
  <si>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</si>
  <si>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</si>
  <si>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</si>
  <si>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</si>
  <si>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</si>
  <si>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</si>
  <si>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</si>
  <si>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</si>
  <si>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</si>
  <si>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</si>
  <si>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</si>
  <si>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</si>
  <si>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</si>
  <si>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</si>
  <si>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</si>
  <si>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</si>
  <si>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</si>
  <si>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</si>
  <si>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</si>
  <si>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</si>
  <si>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</si>
  <si>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</si>
  <si>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</si>
  <si>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</si>
  <si>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</si>
  <si>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</si>
  <si>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</si>
  <si>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</si>
  <si>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</si>
  <si>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4 місяці, тис.грн.</t>
  </si>
  <si>
    <t>Відсоток виконання  плану 4 місяців</t>
  </si>
  <si>
    <t>Відхилення від  плану 4 місяців, тис.грн.</t>
  </si>
  <si>
    <t>Аналіз використання коштів загального фонду міського бюджету станом на 17.04.2018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</si>
</sst>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3"/>
      <name val="Arial Cyr"/>
      <family val="0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2" fillId="0" borderId="0">
      <alignment/>
      <protection/>
    </xf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0" fontId="78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4" borderId="0" xfId="0" applyNumberFormat="1" applyFont="1" applyFill="1" applyAlignment="1">
      <alignment/>
    </xf>
    <xf numFmtId="190" fontId="5" fillId="34" borderId="0" xfId="0" applyNumberFormat="1" applyFont="1" applyFill="1" applyAlignment="1">
      <alignment/>
    </xf>
    <xf numFmtId="0" fontId="5" fillId="34" borderId="0" xfId="0" applyFont="1" applyFill="1" applyBorder="1" applyAlignment="1">
      <alignment/>
    </xf>
    <xf numFmtId="190" fontId="9" fillId="34" borderId="0" xfId="0" applyNumberFormat="1" applyFont="1" applyFill="1" applyAlignment="1">
      <alignment/>
    </xf>
    <xf numFmtId="189" fontId="0" fillId="34" borderId="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11"/>
          <c:w val="0.854"/>
          <c:h val="0.64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202625</c:v>
                </c:pt>
                <c:pt idx="1">
                  <c:v>189953.3</c:v>
                </c:pt>
                <c:pt idx="2">
                  <c:v>2776.4</c:v>
                </c:pt>
                <c:pt idx="3">
                  <c:v>9895.300000000012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51950.40000000001</c:v>
                </c:pt>
                <c:pt idx="1">
                  <c:v>49792.50999999999</c:v>
                </c:pt>
                <c:pt idx="2">
                  <c:v>862.2</c:v>
                </c:pt>
                <c:pt idx="3">
                  <c:v>1295.6900000000212</c:v>
                </c:pt>
              </c:numCache>
            </c:numRef>
          </c:val>
          <c:shape val="box"/>
        </c:ser>
        <c:shape val="box"/>
        <c:axId val="21765811"/>
        <c:axId val="61674572"/>
      </c:bar3DChart>
      <c:catAx>
        <c:axId val="21765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674572"/>
        <c:crosses val="autoZero"/>
        <c:auto val="1"/>
        <c:lblOffset val="100"/>
        <c:tickLblSkip val="1"/>
        <c:noMultiLvlLbl val="0"/>
      </c:catAx>
      <c:valAx>
        <c:axId val="616745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658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3"/>
          <c:h val="0.0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2325"/>
          <c:w val="0.8435"/>
          <c:h val="0.6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827301</c:v>
                </c:pt>
                <c:pt idx="1">
                  <c:v>262517.6</c:v>
                </c:pt>
                <c:pt idx="2">
                  <c:v>657637.4</c:v>
                </c:pt>
                <c:pt idx="3">
                  <c:v>97.7</c:v>
                </c:pt>
                <c:pt idx="4">
                  <c:v>44400.8</c:v>
                </c:pt>
                <c:pt idx="5">
                  <c:v>88172.4</c:v>
                </c:pt>
                <c:pt idx="6">
                  <c:v>12738</c:v>
                </c:pt>
                <c:pt idx="7">
                  <c:v>24254.699999999968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223061.09999999995</c:v>
                </c:pt>
                <c:pt idx="1">
                  <c:v>62902</c:v>
                </c:pt>
                <c:pt idx="2">
                  <c:v>169293.30000000002</c:v>
                </c:pt>
                <c:pt idx="3">
                  <c:v>8.8</c:v>
                </c:pt>
                <c:pt idx="4">
                  <c:v>7701.199999999999</c:v>
                </c:pt>
                <c:pt idx="5">
                  <c:v>40938.3</c:v>
                </c:pt>
                <c:pt idx="6">
                  <c:v>3630.2</c:v>
                </c:pt>
                <c:pt idx="7">
                  <c:v>1489.2999999999274</c:v>
                </c:pt>
              </c:numCache>
            </c:numRef>
          </c:val>
          <c:shape val="box"/>
        </c:ser>
        <c:shape val="box"/>
        <c:axId val="18200237"/>
        <c:axId val="29584406"/>
      </c:bar3DChart>
      <c:catAx>
        <c:axId val="18200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584406"/>
        <c:crosses val="autoZero"/>
        <c:auto val="1"/>
        <c:lblOffset val="100"/>
        <c:tickLblSkip val="1"/>
        <c:noMultiLvlLbl val="0"/>
      </c:catAx>
      <c:valAx>
        <c:axId val="295844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002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19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525"/>
          <c:w val="0.9295"/>
          <c:h val="0.65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424151.5</c:v>
                </c:pt>
                <c:pt idx="1">
                  <c:v>226186</c:v>
                </c:pt>
                <c:pt idx="2">
                  <c:v>424151.5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115293.5</c:v>
                </c:pt>
                <c:pt idx="1">
                  <c:v>79770.3</c:v>
                </c:pt>
                <c:pt idx="2">
                  <c:v>115293.5</c:v>
                </c:pt>
              </c:numCache>
            </c:numRef>
          </c:val>
          <c:shape val="box"/>
        </c:ser>
        <c:shape val="box"/>
        <c:axId val="64933063"/>
        <c:axId val="47526656"/>
      </c:bar3DChart>
      <c:catAx>
        <c:axId val="64933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526656"/>
        <c:crosses val="autoZero"/>
        <c:auto val="1"/>
        <c:lblOffset val="100"/>
        <c:tickLblSkip val="1"/>
        <c:noMultiLvlLbl val="0"/>
      </c:catAx>
      <c:valAx>
        <c:axId val="47526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330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6"/>
          <c:y val="0.91675"/>
          <c:w val="0.264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375"/>
          <c:w val="0.87025"/>
          <c:h val="0.59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24805.1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80.8</c:v>
                </c:pt>
                <c:pt idx="6">
                  <c:v>8945.599999999999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5705.5</c:v>
                </c:pt>
                <c:pt idx="1">
                  <c:v>3293.2</c:v>
                </c:pt>
                <c:pt idx="2">
                  <c:v>6.8</c:v>
                </c:pt>
                <c:pt idx="3">
                  <c:v>533.6999999999999</c:v>
                </c:pt>
                <c:pt idx="4">
                  <c:v>93</c:v>
                </c:pt>
                <c:pt idx="5">
                  <c:v>20.4</c:v>
                </c:pt>
                <c:pt idx="6">
                  <c:v>1758.4000000000003</c:v>
                </c:pt>
              </c:numCache>
            </c:numRef>
          </c:val>
          <c:shape val="box"/>
        </c:ser>
        <c:shape val="box"/>
        <c:axId val="25086721"/>
        <c:axId val="24453898"/>
      </c:bar3DChart>
      <c:catAx>
        <c:axId val="25086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453898"/>
        <c:crosses val="autoZero"/>
        <c:auto val="1"/>
        <c:lblOffset val="100"/>
        <c:tickLblSkip val="1"/>
        <c:noMultiLvlLbl val="0"/>
      </c:catAx>
      <c:valAx>
        <c:axId val="244538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867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3675"/>
          <c:w val="0.86375"/>
          <c:h val="0.65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37135.4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13490.6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8165.5</c:v>
                </c:pt>
                <c:pt idx="1">
                  <c:v>4969.400000000001</c:v>
                </c:pt>
                <c:pt idx="3">
                  <c:v>239.50000000000003</c:v>
                </c:pt>
                <c:pt idx="4">
                  <c:v>310.90000000000003</c:v>
                </c:pt>
                <c:pt idx="5">
                  <c:v>330</c:v>
                </c:pt>
                <c:pt idx="6">
                  <c:v>2315.6999999999994</c:v>
                </c:pt>
              </c:numCache>
            </c:numRef>
          </c:val>
          <c:shape val="box"/>
        </c:ser>
        <c:shape val="box"/>
        <c:axId val="18758491"/>
        <c:axId val="34608692"/>
      </c:bar3DChart>
      <c:catAx>
        <c:axId val="18758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608692"/>
        <c:crosses val="autoZero"/>
        <c:auto val="1"/>
        <c:lblOffset val="100"/>
        <c:tickLblSkip val="2"/>
        <c:noMultiLvlLbl val="0"/>
      </c:catAx>
      <c:valAx>
        <c:axId val="346086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584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23"/>
          <c:w val="0.87775"/>
          <c:h val="0.68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9264.2</c:v>
                </c:pt>
                <c:pt idx="1">
                  <c:v>3119.7</c:v>
                </c:pt>
                <c:pt idx="2">
                  <c:v>360.7</c:v>
                </c:pt>
                <c:pt idx="3">
                  <c:v>393.7</c:v>
                </c:pt>
                <c:pt idx="4">
                  <c:v>4866.6</c:v>
                </c:pt>
                <c:pt idx="5">
                  <c:v>523.5000000000007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1033.6000000000001</c:v>
                </c:pt>
                <c:pt idx="1">
                  <c:v>801.7</c:v>
                </c:pt>
                <c:pt idx="3">
                  <c:v>159.2</c:v>
                </c:pt>
                <c:pt idx="4">
                  <c:v>0</c:v>
                </c:pt>
                <c:pt idx="5">
                  <c:v>72.7000000000001</c:v>
                </c:pt>
              </c:numCache>
            </c:numRef>
          </c:val>
          <c:shape val="box"/>
        </c:ser>
        <c:shape val="box"/>
        <c:axId val="43042773"/>
        <c:axId val="51840638"/>
      </c:bar3DChart>
      <c:catAx>
        <c:axId val="4304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840638"/>
        <c:crosses val="autoZero"/>
        <c:auto val="1"/>
        <c:lblOffset val="100"/>
        <c:tickLblSkip val="1"/>
        <c:noMultiLvlLbl val="0"/>
      </c:catAx>
      <c:valAx>
        <c:axId val="518406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427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55"/>
          <c:y val="0.9255"/>
          <c:w val="0.29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04"/>
          <c:w val="0.8525"/>
          <c:h val="0.715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47707.4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9046.600000000002</c:v>
                </c:pt>
              </c:numCache>
            </c:numRef>
          </c:val>
          <c:shape val="box"/>
        </c:ser>
        <c:shape val="box"/>
        <c:axId val="63912559"/>
        <c:axId val="38342120"/>
      </c:bar3DChart>
      <c:catAx>
        <c:axId val="63912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342120"/>
        <c:crosses val="autoZero"/>
        <c:auto val="1"/>
        <c:lblOffset val="100"/>
        <c:tickLblSkip val="1"/>
        <c:noMultiLvlLbl val="0"/>
      </c:catAx>
      <c:valAx>
        <c:axId val="38342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125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92425"/>
          <c:w val="0.292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-0.002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7"/>
          <c:w val="0.851"/>
          <c:h val="0.58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827301</c:v>
                </c:pt>
                <c:pt idx="1">
                  <c:v>424151.5</c:v>
                </c:pt>
                <c:pt idx="2">
                  <c:v>24805.1</c:v>
                </c:pt>
                <c:pt idx="3">
                  <c:v>37135.4</c:v>
                </c:pt>
                <c:pt idx="4">
                  <c:v>9264.2</c:v>
                </c:pt>
                <c:pt idx="5">
                  <c:v>202625</c:v>
                </c:pt>
                <c:pt idx="6">
                  <c:v>47707.4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223061.09999999995</c:v>
                </c:pt>
                <c:pt idx="1">
                  <c:v>115293.5</c:v>
                </c:pt>
                <c:pt idx="2">
                  <c:v>5705.5</c:v>
                </c:pt>
                <c:pt idx="3">
                  <c:v>8165.5</c:v>
                </c:pt>
                <c:pt idx="4">
                  <c:v>1033.6000000000001</c:v>
                </c:pt>
                <c:pt idx="5">
                  <c:v>51950.40000000001</c:v>
                </c:pt>
                <c:pt idx="6">
                  <c:v>9046.600000000002</c:v>
                </c:pt>
              </c:numCache>
            </c:numRef>
          </c:val>
          <c:shape val="box"/>
        </c:ser>
        <c:shape val="box"/>
        <c:axId val="9534761"/>
        <c:axId val="18703986"/>
      </c:bar3DChart>
      <c:catAx>
        <c:axId val="9534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703986"/>
        <c:crosses val="autoZero"/>
        <c:auto val="1"/>
        <c:lblOffset val="100"/>
        <c:tickLblSkip val="1"/>
        <c:noMultiLvlLbl val="0"/>
      </c:catAx>
      <c:valAx>
        <c:axId val="187039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347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5"/>
          <c:y val="0.88375"/>
          <c:w val="0.286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6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4175"/>
          <c:w val="0.84125"/>
          <c:h val="0.45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фінансування'!$C$154:$C$159</c:f>
              <c:numCache>
                <c:ptCount val="6"/>
                <c:pt idx="0">
                  <c:v>898180.8</c:v>
                </c:pt>
                <c:pt idx="1">
                  <c:v>110563.99999999999</c:v>
                </c:pt>
                <c:pt idx="2">
                  <c:v>45935.1</c:v>
                </c:pt>
                <c:pt idx="3">
                  <c:v>28484.199999999997</c:v>
                </c:pt>
                <c:pt idx="4">
                  <c:v>113.10000000000001</c:v>
                </c:pt>
                <c:pt idx="5">
                  <c:v>1025482.0999999997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фінансування'!$D$154:$D$159</c:f>
              <c:numCache>
                <c:ptCount val="6"/>
                <c:pt idx="0">
                  <c:v>231808.31000000003</c:v>
                </c:pt>
                <c:pt idx="1">
                  <c:v>47369.299999999996</c:v>
                </c:pt>
                <c:pt idx="2">
                  <c:v>7965.799999999999</c:v>
                </c:pt>
                <c:pt idx="3">
                  <c:v>6714</c:v>
                </c:pt>
                <c:pt idx="4">
                  <c:v>8.8</c:v>
                </c:pt>
                <c:pt idx="5">
                  <c:v>182755.18999999997</c:v>
                </c:pt>
              </c:numCache>
            </c:numRef>
          </c:val>
          <c:shape val="box"/>
        </c:ser>
        <c:shape val="box"/>
        <c:axId val="34118147"/>
        <c:axId val="38627868"/>
      </c:bar3DChart>
      <c:catAx>
        <c:axId val="34118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627868"/>
        <c:crosses val="autoZero"/>
        <c:auto val="1"/>
        <c:lblOffset val="100"/>
        <c:tickLblSkip val="1"/>
        <c:noMultiLvlLbl val="0"/>
      </c:catAx>
      <c:valAx>
        <c:axId val="386278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181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75"/>
          <c:y val="0.9115"/>
          <c:w val="0.289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39052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6195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8"/>
  <sheetViews>
    <sheetView tabSelected="1" zoomScale="80" zoomScaleNormal="80" zoomScalePageLayoutView="0" workbookViewId="0" topLeftCell="A1">
      <pane xSplit="1" ySplit="5" topLeftCell="B13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31" sqref="K131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65" t="s">
        <v>112</v>
      </c>
      <c r="B1" s="165"/>
      <c r="C1" s="165"/>
      <c r="D1" s="165"/>
      <c r="E1" s="165"/>
      <c r="F1" s="165"/>
      <c r="G1" s="165"/>
      <c r="H1" s="165"/>
      <c r="I1" s="165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69" t="s">
        <v>40</v>
      </c>
      <c r="B3" s="172" t="s">
        <v>109</v>
      </c>
      <c r="C3" s="166" t="s">
        <v>106</v>
      </c>
      <c r="D3" s="166" t="s">
        <v>22</v>
      </c>
      <c r="E3" s="166" t="s">
        <v>21</v>
      </c>
      <c r="F3" s="166" t="s">
        <v>110</v>
      </c>
      <c r="G3" s="166" t="s">
        <v>107</v>
      </c>
      <c r="H3" s="166" t="s">
        <v>111</v>
      </c>
      <c r="I3" s="166" t="s">
        <v>108</v>
      </c>
    </row>
    <row r="4" spans="1:9" ht="24.75" customHeight="1">
      <c r="A4" s="170"/>
      <c r="B4" s="173"/>
      <c r="C4" s="167"/>
      <c r="D4" s="167"/>
      <c r="E4" s="167"/>
      <c r="F4" s="167"/>
      <c r="G4" s="167"/>
      <c r="H4" s="167"/>
      <c r="I4" s="167"/>
    </row>
    <row r="5" spans="1:9" ht="39" customHeight="1" thickBot="1">
      <c r="A5" s="171"/>
      <c r="B5" s="174"/>
      <c r="C5" s="168"/>
      <c r="D5" s="168"/>
      <c r="E5" s="168"/>
      <c r="F5" s="168"/>
      <c r="G5" s="168"/>
      <c r="H5" s="168"/>
      <c r="I5" s="168"/>
    </row>
    <row r="6" spans="1:11" ht="18.75" thickBot="1">
      <c r="A6" s="20" t="s">
        <v>26</v>
      </c>
      <c r="B6" s="38">
        <f>281230.3-1768.4+16</f>
        <v>279477.89999999997</v>
      </c>
      <c r="C6" s="39">
        <f>826775+13431.5+510-13431.5+16</f>
        <v>827301</v>
      </c>
      <c r="D6" s="40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</f>
        <v>223061.09999999995</v>
      </c>
      <c r="E6" s="3">
        <f>D6/D153*100</f>
        <v>46.800479374195106</v>
      </c>
      <c r="F6" s="3">
        <f>D6/B6*100</f>
        <v>79.8135022482994</v>
      </c>
      <c r="G6" s="3">
        <f aca="true" t="shared" si="0" ref="G6:G43">D6/C6*100</f>
        <v>26.96250820438993</v>
      </c>
      <c r="H6" s="40">
        <f>B6-D6</f>
        <v>56416.80000000002</v>
      </c>
      <c r="I6" s="40">
        <f aca="true" t="shared" si="1" ref="I6:I43">C6-D6</f>
        <v>604239.9</v>
      </c>
      <c r="J6" s="164"/>
      <c r="K6" s="156"/>
    </row>
    <row r="7" spans="1:12" s="94" customFormat="1" ht="18">
      <c r="A7" s="142" t="s">
        <v>81</v>
      </c>
      <c r="B7" s="143">
        <v>78486.8</v>
      </c>
      <c r="C7" s="144">
        <v>262517.6</v>
      </c>
      <c r="D7" s="145">
        <f>8282.7+10875.2+9132.6+9963.6+4.3+9215.1+9968.6+5459.9</f>
        <v>62902</v>
      </c>
      <c r="E7" s="146">
        <f>D7/D6*100</f>
        <v>28.19944849191545</v>
      </c>
      <c r="F7" s="146">
        <f>D7/B7*100</f>
        <v>80.14341265028004</v>
      </c>
      <c r="G7" s="146">
        <f>D7/C7*100</f>
        <v>23.961060134634785</v>
      </c>
      <c r="H7" s="145">
        <f>B7-D7</f>
        <v>15584.800000000003</v>
      </c>
      <c r="I7" s="145">
        <f t="shared" si="1"/>
        <v>199615.59999999998</v>
      </c>
      <c r="K7" s="156"/>
      <c r="L7" s="141"/>
    </row>
    <row r="8" spans="1:12" s="93" customFormat="1" ht="18">
      <c r="A8" s="103" t="s">
        <v>3</v>
      </c>
      <c r="B8" s="128">
        <f>204238.5-1768.4</f>
        <v>202470.1</v>
      </c>
      <c r="C8" s="129">
        <f>649221.9+8415.5</f>
        <v>657637.4</v>
      </c>
      <c r="D8" s="105">
        <f>18784.8+17058.5+10875.2+340.5+963.8+9132.6+10728.8+20670.9+9963.6+30.7+4.3+37.1+20227.5+2+9968.6+19814.4+11230.1+9459.9</f>
        <v>169293.30000000002</v>
      </c>
      <c r="E8" s="107">
        <f>D8/D6*100</f>
        <v>75.89548334514626</v>
      </c>
      <c r="F8" s="107">
        <f>D8/B8*100</f>
        <v>83.6139755944211</v>
      </c>
      <c r="G8" s="107">
        <f t="shared" si="0"/>
        <v>25.742650889380688</v>
      </c>
      <c r="H8" s="105">
        <f>B8-D8</f>
        <v>33176.79999999999</v>
      </c>
      <c r="I8" s="105">
        <f t="shared" si="1"/>
        <v>488344.1</v>
      </c>
      <c r="K8" s="156"/>
      <c r="L8" s="141"/>
    </row>
    <row r="9" spans="1:12" s="93" customFormat="1" ht="18">
      <c r="A9" s="103" t="s">
        <v>2</v>
      </c>
      <c r="B9" s="128">
        <v>30.8</v>
      </c>
      <c r="C9" s="129">
        <v>97.7</v>
      </c>
      <c r="D9" s="105">
        <f>3.4+5.4</f>
        <v>8.8</v>
      </c>
      <c r="E9" s="130">
        <f>D9/D6*100</f>
        <v>0.003945107416757114</v>
      </c>
      <c r="F9" s="107">
        <f>D9/B9*100</f>
        <v>28.571428571428577</v>
      </c>
      <c r="G9" s="107">
        <f t="shared" si="0"/>
        <v>9.007164790174002</v>
      </c>
      <c r="H9" s="105">
        <f aca="true" t="shared" si="2" ref="H9:H43">B9-D9</f>
        <v>22</v>
      </c>
      <c r="I9" s="105">
        <f t="shared" si="1"/>
        <v>88.9</v>
      </c>
      <c r="K9" s="156"/>
      <c r="L9" s="141"/>
    </row>
    <row r="10" spans="1:12" s="93" customFormat="1" ht="18">
      <c r="A10" s="103" t="s">
        <v>1</v>
      </c>
      <c r="B10" s="128">
        <v>15262.4</v>
      </c>
      <c r="C10" s="129">
        <f>52816.3-8415.5</f>
        <v>44400.8</v>
      </c>
      <c r="D10" s="147">
        <f>48.9+218.8+88.4+85.8+204.3+521.3+87.9+293.2+244.8+269.9+23.7+37.8+76.9+443.5+72.7+206+64-0.1+91.4+327.2+264.1+9.2+95.9+74.6+15.1+25+206.8+75.6+0.4+2993.6+83.8+354.8+44.3+30.2+21.4</f>
        <v>7701.199999999999</v>
      </c>
      <c r="E10" s="107">
        <f>D10/D6*100</f>
        <v>3.4525069588556683</v>
      </c>
      <c r="F10" s="107">
        <f aca="true" t="shared" si="3" ref="F10:F41">D10/B10*100</f>
        <v>50.458643463675436</v>
      </c>
      <c r="G10" s="107">
        <f t="shared" si="0"/>
        <v>17.344732527341847</v>
      </c>
      <c r="H10" s="105">
        <f t="shared" si="2"/>
        <v>7561.200000000001</v>
      </c>
      <c r="I10" s="105">
        <f t="shared" si="1"/>
        <v>36699.600000000006</v>
      </c>
      <c r="K10" s="156"/>
      <c r="L10" s="141"/>
    </row>
    <row r="11" spans="1:12" s="93" customFormat="1" ht="18">
      <c r="A11" s="103" t="s">
        <v>0</v>
      </c>
      <c r="B11" s="128">
        <v>49159.6</v>
      </c>
      <c r="C11" s="129">
        <v>88172.4</v>
      </c>
      <c r="D11" s="148">
        <f>19.1+640.6+125.5+108.2+60+64.1+0.7+97.8+43.1+15+139.1+27.1+31.6+324.4+180.4+824.6+269.5+6895.2+1223.1+1.6+0.1+1078.7+2077.1+4723+204.5+1867.4+1644.3+1147.4+2807.9+0.4+1264.2+1486.3+0.9+773+10.7+64.3+4505.7+1218.1+1977.6+2996</f>
        <v>40938.3</v>
      </c>
      <c r="E11" s="107">
        <f>D11/D6*100</f>
        <v>18.35295351811679</v>
      </c>
      <c r="F11" s="107">
        <f t="shared" si="3"/>
        <v>83.27630818802432</v>
      </c>
      <c r="G11" s="107">
        <f t="shared" si="0"/>
        <v>46.429835186520954</v>
      </c>
      <c r="H11" s="105">
        <f t="shared" si="2"/>
        <v>8221.299999999996</v>
      </c>
      <c r="I11" s="105">
        <f t="shared" si="1"/>
        <v>47234.09999999999</v>
      </c>
      <c r="K11" s="156"/>
      <c r="L11" s="141"/>
    </row>
    <row r="12" spans="1:12" s="93" customFormat="1" ht="18">
      <c r="A12" s="103" t="s">
        <v>14</v>
      </c>
      <c r="B12" s="128">
        <v>4334.4</v>
      </c>
      <c r="C12" s="129">
        <v>12738</v>
      </c>
      <c r="D12" s="105">
        <f>874.5+251.8+346.3+159.7+538.5+10.6+57+168.9+31.7+165.3+10.6+439.5+199.1+10.6+10.6+19+325.9+10.6</f>
        <v>3630.2</v>
      </c>
      <c r="E12" s="107">
        <f>D12/D6*100</f>
        <v>1.6274464709445084</v>
      </c>
      <c r="F12" s="107">
        <f t="shared" si="3"/>
        <v>83.75322997416022</v>
      </c>
      <c r="G12" s="107">
        <f t="shared" si="0"/>
        <v>28.49897943162192</v>
      </c>
      <c r="H12" s="105">
        <f>B12-D12</f>
        <v>704.1999999999998</v>
      </c>
      <c r="I12" s="105">
        <f t="shared" si="1"/>
        <v>9107.8</v>
      </c>
      <c r="K12" s="156"/>
      <c r="L12" s="141"/>
    </row>
    <row r="13" spans="1:12" s="93" customFormat="1" ht="18.75" thickBot="1">
      <c r="A13" s="103" t="s">
        <v>27</v>
      </c>
      <c r="B13" s="129">
        <f>B6-B8-B9-B10-B11-B12</f>
        <v>8220.599999999957</v>
      </c>
      <c r="C13" s="129">
        <f>C6-C8-C9-C10-C11-C12</f>
        <v>24254.699999999968</v>
      </c>
      <c r="D13" s="129">
        <f>D6-D8-D9-D10-D11-D12</f>
        <v>1489.2999999999274</v>
      </c>
      <c r="E13" s="107">
        <f>D13/D6*100</f>
        <v>0.6676645995200094</v>
      </c>
      <c r="F13" s="107">
        <f t="shared" si="3"/>
        <v>18.116682480596737</v>
      </c>
      <c r="G13" s="107">
        <f t="shared" si="0"/>
        <v>6.140253229270737</v>
      </c>
      <c r="H13" s="105">
        <f t="shared" si="2"/>
        <v>6731.300000000029</v>
      </c>
      <c r="I13" s="105">
        <f t="shared" si="1"/>
        <v>22765.40000000004</v>
      </c>
      <c r="K13" s="156"/>
      <c r="L13" s="141"/>
    </row>
    <row r="14" spans="1:13" s="32" customFormat="1" ht="18.75" customHeight="1" hidden="1">
      <c r="A14" s="74" t="s">
        <v>61</v>
      </c>
      <c r="B14" s="72"/>
      <c r="C14" s="72"/>
      <c r="D14" s="72"/>
      <c r="E14" s="73"/>
      <c r="F14" s="73" t="e">
        <f>D14/B14*100</f>
        <v>#DIV/0!</v>
      </c>
      <c r="G14" s="73" t="e">
        <f>D14/C14*100</f>
        <v>#DIV/0!</v>
      </c>
      <c r="H14" s="79">
        <f>B14-D14</f>
        <v>0</v>
      </c>
      <c r="I14" s="79">
        <f>C14-D14</f>
        <v>0</v>
      </c>
      <c r="J14" s="94"/>
      <c r="K14" s="11"/>
      <c r="L14" s="11"/>
      <c r="M14" s="11"/>
    </row>
    <row r="15" spans="1:13" s="32" customFormat="1" ht="18.75" customHeight="1" hidden="1">
      <c r="A15" s="74" t="s">
        <v>58</v>
      </c>
      <c r="B15" s="72"/>
      <c r="C15" s="72"/>
      <c r="D15" s="72"/>
      <c r="E15" s="73"/>
      <c r="F15" s="73" t="e">
        <f>D15/B15*100</f>
        <v>#DIV/0!</v>
      </c>
      <c r="G15" s="73" t="e">
        <f>D15/C15*100</f>
        <v>#DIV/0!</v>
      </c>
      <c r="H15" s="79">
        <f>B15-D15</f>
        <v>0</v>
      </c>
      <c r="I15" s="79">
        <f>C15-D15</f>
        <v>0</v>
      </c>
      <c r="J15" s="94"/>
      <c r="K15" s="11"/>
      <c r="L15" s="11"/>
      <c r="M15" s="11"/>
    </row>
    <row r="16" spans="1:13" s="32" customFormat="1" ht="18.75" hidden="1" thickBot="1">
      <c r="A16" s="74" t="s">
        <v>59</v>
      </c>
      <c r="B16" s="72"/>
      <c r="C16" s="72"/>
      <c r="D16" s="72"/>
      <c r="E16" s="73"/>
      <c r="F16" s="73" t="e">
        <f>D16/B16*100</f>
        <v>#DIV/0!</v>
      </c>
      <c r="G16" s="73" t="e">
        <f>D16/C16*100</f>
        <v>#DIV/0!</v>
      </c>
      <c r="H16" s="79">
        <f>B16-D16</f>
        <v>0</v>
      </c>
      <c r="I16" s="79">
        <f>C16-D16</f>
        <v>0</v>
      </c>
      <c r="J16" s="94"/>
      <c r="K16" s="11"/>
      <c r="L16" s="11"/>
      <c r="M16" s="11"/>
    </row>
    <row r="17" spans="1:13" s="32" customFormat="1" ht="18.75" hidden="1" thickBot="1">
      <c r="A17" s="74" t="s">
        <v>60</v>
      </c>
      <c r="B17" s="72"/>
      <c r="C17" s="72"/>
      <c r="D17" s="72"/>
      <c r="E17" s="73"/>
      <c r="F17" s="73" t="e">
        <f>D17/B17*100</f>
        <v>#DIV/0!</v>
      </c>
      <c r="G17" s="73" t="e">
        <f>D17/C17*100</f>
        <v>#DIV/0!</v>
      </c>
      <c r="H17" s="79">
        <f>B17-D17</f>
        <v>0</v>
      </c>
      <c r="I17" s="79">
        <f>C17-D17</f>
        <v>0</v>
      </c>
      <c r="J17" s="94"/>
      <c r="K17" s="11"/>
      <c r="L17" s="11"/>
      <c r="M17" s="11"/>
    </row>
    <row r="18" spans="1:11" ht="18.75" thickBot="1">
      <c r="A18" s="20" t="s">
        <v>19</v>
      </c>
      <c r="B18" s="38">
        <v>143030.1</v>
      </c>
      <c r="C18" s="39">
        <v>424151.5</v>
      </c>
      <c r="D18" s="40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</f>
        <v>115293.5</v>
      </c>
      <c r="E18" s="3">
        <f>D18/D153*100</f>
        <v>24.189744732401863</v>
      </c>
      <c r="F18" s="3">
        <f>D18/B18*100</f>
        <v>80.6078580662392</v>
      </c>
      <c r="G18" s="3">
        <f t="shared" si="0"/>
        <v>27.182150717373393</v>
      </c>
      <c r="H18" s="40">
        <f>B18-D18</f>
        <v>27736.600000000006</v>
      </c>
      <c r="I18" s="40">
        <f t="shared" si="1"/>
        <v>308858</v>
      </c>
      <c r="J18" s="93"/>
      <c r="K18" s="156"/>
    </row>
    <row r="19" spans="1:13" s="94" customFormat="1" ht="18">
      <c r="A19" s="142" t="s">
        <v>82</v>
      </c>
      <c r="B19" s="143">
        <v>88011.7</v>
      </c>
      <c r="C19" s="144">
        <v>226186</v>
      </c>
      <c r="D19" s="145">
        <f>10253+8836.7+83+81.4+67.5+107.8+99.9+68+670.4+333.8+10669.5+517.6+20+0.9+930.5+9161.8+16.3+11.4+213.8+133.4+10945.8+52.3+638.7+0.4+5306.6+6666.4+53.2+13.5+1487.6+379+624.4+10164.8+582.4+578+0.5</f>
        <v>79770.3</v>
      </c>
      <c r="E19" s="146">
        <f>D19/D18*100</f>
        <v>69.18889616500496</v>
      </c>
      <c r="F19" s="146">
        <f t="shared" si="3"/>
        <v>90.63601771128157</v>
      </c>
      <c r="G19" s="146">
        <f t="shared" si="0"/>
        <v>35.26756740028119</v>
      </c>
      <c r="H19" s="145">
        <f t="shared" si="2"/>
        <v>8241.399999999994</v>
      </c>
      <c r="I19" s="145">
        <f t="shared" si="1"/>
        <v>146415.7</v>
      </c>
      <c r="K19" s="156"/>
      <c r="L19" s="93"/>
      <c r="M19" s="93"/>
    </row>
    <row r="20" spans="1:11" s="93" customFormat="1" ht="18" hidden="1">
      <c r="A20" s="103" t="s">
        <v>5</v>
      </c>
      <c r="B20" s="128"/>
      <c r="C20" s="129"/>
      <c r="D20" s="105"/>
      <c r="E20" s="107">
        <f>D20/D18*100</f>
        <v>0</v>
      </c>
      <c r="F20" s="107" t="e">
        <f t="shared" si="3"/>
        <v>#DIV/0!</v>
      </c>
      <c r="G20" s="107" t="e">
        <f t="shared" si="0"/>
        <v>#DIV/0!</v>
      </c>
      <c r="H20" s="105">
        <f t="shared" si="2"/>
        <v>0</v>
      </c>
      <c r="I20" s="105">
        <f t="shared" si="1"/>
        <v>0</v>
      </c>
      <c r="K20" s="156">
        <f>C20-B20</f>
        <v>0</v>
      </c>
    </row>
    <row r="21" spans="1:11" s="93" customFormat="1" ht="18" hidden="1">
      <c r="A21" s="103" t="s">
        <v>2</v>
      </c>
      <c r="B21" s="128"/>
      <c r="C21" s="129"/>
      <c r="D21" s="105"/>
      <c r="E21" s="107">
        <f>D21/D18*100</f>
        <v>0</v>
      </c>
      <c r="F21" s="107" t="e">
        <f t="shared" si="3"/>
        <v>#DIV/0!</v>
      </c>
      <c r="G21" s="107" t="e">
        <f t="shared" si="0"/>
        <v>#DIV/0!</v>
      </c>
      <c r="H21" s="105">
        <f t="shared" si="2"/>
        <v>0</v>
      </c>
      <c r="I21" s="105">
        <f t="shared" si="1"/>
        <v>0</v>
      </c>
      <c r="K21" s="156">
        <f>C21-B21</f>
        <v>0</v>
      </c>
    </row>
    <row r="22" spans="1:11" s="93" customFormat="1" ht="18" hidden="1">
      <c r="A22" s="103" t="s">
        <v>1</v>
      </c>
      <c r="B22" s="128"/>
      <c r="C22" s="129"/>
      <c r="D22" s="105"/>
      <c r="E22" s="107">
        <f>D22/D18*100</f>
        <v>0</v>
      </c>
      <c r="F22" s="107" t="e">
        <f t="shared" si="3"/>
        <v>#DIV/0!</v>
      </c>
      <c r="G22" s="107" t="e">
        <f t="shared" si="0"/>
        <v>#DIV/0!</v>
      </c>
      <c r="H22" s="105">
        <f t="shared" si="2"/>
        <v>0</v>
      </c>
      <c r="I22" s="105">
        <f t="shared" si="1"/>
        <v>0</v>
      </c>
      <c r="K22" s="156">
        <f>C22-B22</f>
        <v>0</v>
      </c>
    </row>
    <row r="23" spans="1:11" s="93" customFormat="1" ht="18" hidden="1">
      <c r="A23" s="103" t="s">
        <v>0</v>
      </c>
      <c r="B23" s="128"/>
      <c r="C23" s="129"/>
      <c r="D23" s="105"/>
      <c r="E23" s="107">
        <f>D23/D18*100</f>
        <v>0</v>
      </c>
      <c r="F23" s="107" t="e">
        <f t="shared" si="3"/>
        <v>#DIV/0!</v>
      </c>
      <c r="G23" s="107" t="e">
        <f t="shared" si="0"/>
        <v>#DIV/0!</v>
      </c>
      <c r="H23" s="105">
        <f t="shared" si="2"/>
        <v>0</v>
      </c>
      <c r="I23" s="105">
        <f t="shared" si="1"/>
        <v>0</v>
      </c>
      <c r="K23" s="156">
        <f>C23-B23</f>
        <v>0</v>
      </c>
    </row>
    <row r="24" spans="1:11" s="93" customFormat="1" ht="18" hidden="1">
      <c r="A24" s="103" t="s">
        <v>14</v>
      </c>
      <c r="B24" s="128"/>
      <c r="C24" s="129"/>
      <c r="D24" s="105"/>
      <c r="E24" s="107">
        <f>D24/D18*100</f>
        <v>0</v>
      </c>
      <c r="F24" s="107" t="e">
        <f t="shared" si="3"/>
        <v>#DIV/0!</v>
      </c>
      <c r="G24" s="107" t="e">
        <f t="shared" si="0"/>
        <v>#DIV/0!</v>
      </c>
      <c r="H24" s="105">
        <f t="shared" si="2"/>
        <v>0</v>
      </c>
      <c r="I24" s="105">
        <f t="shared" si="1"/>
        <v>0</v>
      </c>
      <c r="K24" s="156">
        <f>C24-B24</f>
        <v>0</v>
      </c>
    </row>
    <row r="25" spans="1:11" s="93" customFormat="1" ht="18.75" thickBot="1">
      <c r="A25" s="103" t="s">
        <v>27</v>
      </c>
      <c r="B25" s="129">
        <f>B18</f>
        <v>143030.1</v>
      </c>
      <c r="C25" s="129">
        <f>C18</f>
        <v>424151.5</v>
      </c>
      <c r="D25" s="129">
        <f>D18</f>
        <v>115293.5</v>
      </c>
      <c r="E25" s="107">
        <f>D25/D18*100</f>
        <v>100</v>
      </c>
      <c r="F25" s="107">
        <f t="shared" si="3"/>
        <v>80.6078580662392</v>
      </c>
      <c r="G25" s="107">
        <f t="shared" si="0"/>
        <v>27.182150717373393</v>
      </c>
      <c r="H25" s="105">
        <f t="shared" si="2"/>
        <v>27736.600000000006</v>
      </c>
      <c r="I25" s="105">
        <f t="shared" si="1"/>
        <v>308858</v>
      </c>
      <c r="K25" s="156"/>
    </row>
    <row r="26" spans="1:11" ht="55.5" hidden="1" thickBot="1">
      <c r="A26" s="74" t="s">
        <v>69</v>
      </c>
      <c r="B26" s="36"/>
      <c r="C26" s="36"/>
      <c r="D26" s="36"/>
      <c r="E26" s="1"/>
      <c r="F26" s="1" t="e">
        <f t="shared" si="3"/>
        <v>#DIV/0!</v>
      </c>
      <c r="G26" s="1" t="e">
        <f t="shared" si="0"/>
        <v>#DIV/0!</v>
      </c>
      <c r="H26" s="37">
        <f t="shared" si="2"/>
        <v>0</v>
      </c>
      <c r="I26" s="37">
        <f t="shared" si="1"/>
        <v>0</v>
      </c>
      <c r="J26" s="93"/>
      <c r="K26" s="156">
        <f aca="true" t="shared" si="4" ref="K26:K32">C26-B26</f>
        <v>0</v>
      </c>
    </row>
    <row r="27" spans="1:11" ht="36.75" customHeight="1" hidden="1">
      <c r="A27" s="74" t="s">
        <v>70</v>
      </c>
      <c r="B27" s="36"/>
      <c r="C27" s="36"/>
      <c r="D27" s="36"/>
      <c r="E27" s="1"/>
      <c r="F27" s="1" t="e">
        <f t="shared" si="3"/>
        <v>#DIV/0!</v>
      </c>
      <c r="G27" s="1" t="e">
        <f t="shared" si="0"/>
        <v>#DIV/0!</v>
      </c>
      <c r="H27" s="37">
        <f t="shared" si="2"/>
        <v>0</v>
      </c>
      <c r="I27" s="37">
        <f t="shared" si="1"/>
        <v>0</v>
      </c>
      <c r="J27" s="93"/>
      <c r="K27" s="156">
        <f t="shared" si="4"/>
        <v>0</v>
      </c>
    </row>
    <row r="28" spans="1:11" ht="18.75" hidden="1" thickBot="1">
      <c r="A28" s="74" t="s">
        <v>71</v>
      </c>
      <c r="B28" s="36"/>
      <c r="C28" s="36"/>
      <c r="D28" s="36"/>
      <c r="E28" s="1"/>
      <c r="F28" s="1" t="e">
        <f t="shared" si="3"/>
        <v>#DIV/0!</v>
      </c>
      <c r="G28" s="1" t="e">
        <f t="shared" si="0"/>
        <v>#DIV/0!</v>
      </c>
      <c r="H28" s="37">
        <f t="shared" si="2"/>
        <v>0</v>
      </c>
      <c r="I28" s="37">
        <f t="shared" si="1"/>
        <v>0</v>
      </c>
      <c r="J28" s="93"/>
      <c r="K28" s="156">
        <f t="shared" si="4"/>
        <v>0</v>
      </c>
    </row>
    <row r="29" spans="1:11" ht="39.75" customHeight="1" hidden="1">
      <c r="A29" s="74" t="s">
        <v>72</v>
      </c>
      <c r="B29" s="36"/>
      <c r="C29" s="36"/>
      <c r="D29" s="36"/>
      <c r="E29" s="1"/>
      <c r="F29" s="1" t="e">
        <f t="shared" si="3"/>
        <v>#DIV/0!</v>
      </c>
      <c r="G29" s="1" t="e">
        <f t="shared" si="0"/>
        <v>#DIV/0!</v>
      </c>
      <c r="H29" s="37">
        <f t="shared" si="2"/>
        <v>0</v>
      </c>
      <c r="I29" s="37">
        <f t="shared" si="1"/>
        <v>0</v>
      </c>
      <c r="J29" s="93"/>
      <c r="K29" s="156">
        <f t="shared" si="4"/>
        <v>0</v>
      </c>
    </row>
    <row r="30" spans="1:11" ht="37.5" customHeight="1" hidden="1">
      <c r="A30" s="74" t="s">
        <v>73</v>
      </c>
      <c r="B30" s="36"/>
      <c r="C30" s="36"/>
      <c r="D30" s="36"/>
      <c r="E30" s="1"/>
      <c r="F30" s="1" t="e">
        <f>D30/B30*100</f>
        <v>#DIV/0!</v>
      </c>
      <c r="G30" s="1" t="e">
        <f t="shared" si="0"/>
        <v>#DIV/0!</v>
      </c>
      <c r="H30" s="37">
        <f t="shared" si="2"/>
        <v>0</v>
      </c>
      <c r="I30" s="37">
        <f t="shared" si="1"/>
        <v>0</v>
      </c>
      <c r="J30" s="93"/>
      <c r="K30" s="156">
        <f t="shared" si="4"/>
        <v>0</v>
      </c>
    </row>
    <row r="31" spans="1:11" ht="36" customHeight="1" hidden="1">
      <c r="A31" s="74" t="s">
        <v>74</v>
      </c>
      <c r="B31" s="36"/>
      <c r="C31" s="36"/>
      <c r="D31" s="36"/>
      <c r="E31" s="1"/>
      <c r="F31" s="1" t="e">
        <f t="shared" si="3"/>
        <v>#DIV/0!</v>
      </c>
      <c r="G31" s="1" t="e">
        <f t="shared" si="0"/>
        <v>#DIV/0!</v>
      </c>
      <c r="H31" s="37">
        <f t="shared" si="2"/>
        <v>0</v>
      </c>
      <c r="I31" s="37">
        <f t="shared" si="1"/>
        <v>0</v>
      </c>
      <c r="J31" s="93"/>
      <c r="K31" s="156">
        <f t="shared" si="4"/>
        <v>0</v>
      </c>
    </row>
    <row r="32" spans="1:11" ht="18.75" hidden="1" thickBot="1">
      <c r="A32" s="74" t="s">
        <v>75</v>
      </c>
      <c r="B32" s="36"/>
      <c r="C32" s="36"/>
      <c r="D32" s="36"/>
      <c r="E32" s="1"/>
      <c r="F32" s="1" t="e">
        <f t="shared" si="3"/>
        <v>#DIV/0!</v>
      </c>
      <c r="G32" s="1" t="e">
        <f t="shared" si="0"/>
        <v>#DIV/0!</v>
      </c>
      <c r="H32" s="37">
        <f t="shared" si="2"/>
        <v>0</v>
      </c>
      <c r="I32" s="37">
        <f t="shared" si="1"/>
        <v>0</v>
      </c>
      <c r="J32" s="93"/>
      <c r="K32" s="156">
        <f t="shared" si="4"/>
        <v>0</v>
      </c>
    </row>
    <row r="33" spans="1:11" ht="18.75" thickBot="1">
      <c r="A33" s="20" t="s">
        <v>17</v>
      </c>
      <c r="B33" s="38">
        <v>8443.4</v>
      </c>
      <c r="C33" s="39">
        <v>24805.1</v>
      </c>
      <c r="D33" s="42">
        <f>364.6+44.8+35.8+191.3+646.1+25.1+164.7+15+5.1+531+54.3+2.5+15.8+202.7+1.6+22.1+596.2+14.1+123.8+80.3+68.1+398.3+3.2+1+245+165.3+2.5+39.5+65.7+27.9+573.9+1.9+0.6+146.1+99.2+229.7+391.3+99.3+10.1</f>
        <v>5705.5</v>
      </c>
      <c r="E33" s="3">
        <f>D33/D153*100</f>
        <v>1.1970717219159694</v>
      </c>
      <c r="F33" s="3">
        <f>D33/B33*100</f>
        <v>67.57348935263046</v>
      </c>
      <c r="G33" s="3">
        <f t="shared" si="0"/>
        <v>23.001318277289755</v>
      </c>
      <c r="H33" s="40">
        <f t="shared" si="2"/>
        <v>2737.8999999999996</v>
      </c>
      <c r="I33" s="40">
        <f t="shared" si="1"/>
        <v>19099.6</v>
      </c>
      <c r="J33" s="163"/>
      <c r="K33" s="156"/>
    </row>
    <row r="34" spans="1:11" s="93" customFormat="1" ht="18">
      <c r="A34" s="103" t="s">
        <v>3</v>
      </c>
      <c r="B34" s="128">
        <v>4086.6</v>
      </c>
      <c r="C34" s="129">
        <v>12906.6</v>
      </c>
      <c r="D34" s="105">
        <f>364.6+548.1+389.3+522.2+63+395+556.7+63+391.3</f>
        <v>3293.2</v>
      </c>
      <c r="E34" s="107">
        <f>D34/D33*100</f>
        <v>57.719744106563844</v>
      </c>
      <c r="F34" s="107">
        <f t="shared" si="3"/>
        <v>80.58532765624236</v>
      </c>
      <c r="G34" s="107">
        <f t="shared" si="0"/>
        <v>25.515627663366026</v>
      </c>
      <c r="H34" s="105">
        <f t="shared" si="2"/>
        <v>793.4000000000001</v>
      </c>
      <c r="I34" s="105">
        <f t="shared" si="1"/>
        <v>9613.400000000001</v>
      </c>
      <c r="K34" s="156"/>
    </row>
    <row r="35" spans="1:11" s="93" customFormat="1" ht="18">
      <c r="A35" s="103" t="s">
        <v>1</v>
      </c>
      <c r="B35" s="128">
        <v>27</v>
      </c>
      <c r="C35" s="129">
        <v>81.1</v>
      </c>
      <c r="D35" s="105">
        <v>6.8</v>
      </c>
      <c r="E35" s="107">
        <f>D35/D33*100</f>
        <v>0.11918324423801595</v>
      </c>
      <c r="F35" s="107">
        <f t="shared" si="3"/>
        <v>25.185185185185183</v>
      </c>
      <c r="G35" s="107">
        <f t="shared" si="0"/>
        <v>8.384710234278668</v>
      </c>
      <c r="H35" s="105">
        <f t="shared" si="2"/>
        <v>20.2</v>
      </c>
      <c r="I35" s="105">
        <f t="shared" si="1"/>
        <v>74.3</v>
      </c>
      <c r="K35" s="156"/>
    </row>
    <row r="36" spans="1:11" s="93" customFormat="1" ht="18">
      <c r="A36" s="103" t="s">
        <v>0</v>
      </c>
      <c r="B36" s="128">
        <v>965</v>
      </c>
      <c r="C36" s="129">
        <v>1783</v>
      </c>
      <c r="D36" s="105">
        <f>0.3+11.3+141.7+12.6+0.9+12.9+1.3+0.5+169.4+1.1+0.1+0.4+11.3+166.1+3.8</f>
        <v>533.6999999999999</v>
      </c>
      <c r="E36" s="107">
        <f>D36/D33*100</f>
        <v>9.354131977916044</v>
      </c>
      <c r="F36" s="107">
        <f t="shared" si="3"/>
        <v>55.305699481865275</v>
      </c>
      <c r="G36" s="107">
        <f t="shared" si="0"/>
        <v>29.93269770050476</v>
      </c>
      <c r="H36" s="105">
        <f t="shared" si="2"/>
        <v>431.30000000000007</v>
      </c>
      <c r="I36" s="105">
        <f t="shared" si="1"/>
        <v>1249.3000000000002</v>
      </c>
      <c r="K36" s="156"/>
    </row>
    <row r="37" spans="1:12" s="94" customFormat="1" ht="18">
      <c r="A37" s="119" t="s">
        <v>7</v>
      </c>
      <c r="B37" s="139">
        <v>293.1</v>
      </c>
      <c r="C37" s="140">
        <v>1008</v>
      </c>
      <c r="D37" s="110">
        <f>44.8+25.1+1.6+0.5+2.7+1+6.3+8.5+2.5</f>
        <v>93</v>
      </c>
      <c r="E37" s="114">
        <f>D37/D33*100</f>
        <v>1.630006134431689</v>
      </c>
      <c r="F37" s="114">
        <f t="shared" si="3"/>
        <v>31.72978505629478</v>
      </c>
      <c r="G37" s="114">
        <f t="shared" si="0"/>
        <v>9.226190476190476</v>
      </c>
      <c r="H37" s="110">
        <f t="shared" si="2"/>
        <v>200.10000000000002</v>
      </c>
      <c r="I37" s="110">
        <f t="shared" si="1"/>
        <v>915</v>
      </c>
      <c r="K37" s="156"/>
      <c r="L37" s="141"/>
    </row>
    <row r="38" spans="1:11" s="93" customFormat="1" ht="18">
      <c r="A38" s="103" t="s">
        <v>14</v>
      </c>
      <c r="B38" s="128">
        <v>20.4</v>
      </c>
      <c r="C38" s="129">
        <v>80.8</v>
      </c>
      <c r="D38" s="129">
        <f>5.1+5.1+5.1+5.1</f>
        <v>20.4</v>
      </c>
      <c r="E38" s="107">
        <f>D38/D33*100</f>
        <v>0.35754973271404783</v>
      </c>
      <c r="F38" s="107">
        <f t="shared" si="3"/>
        <v>100</v>
      </c>
      <c r="G38" s="107">
        <f t="shared" si="0"/>
        <v>25.247524752475247</v>
      </c>
      <c r="H38" s="105">
        <f t="shared" si="2"/>
        <v>0</v>
      </c>
      <c r="I38" s="105">
        <f t="shared" si="1"/>
        <v>60.4</v>
      </c>
      <c r="K38" s="156"/>
    </row>
    <row r="39" spans="1:11" s="93" customFormat="1" ht="18.75" thickBot="1">
      <c r="A39" s="103" t="s">
        <v>27</v>
      </c>
      <c r="B39" s="128">
        <f>B33-B34-B36-B37-B35-B38</f>
        <v>3051.2999999999993</v>
      </c>
      <c r="C39" s="128">
        <f>C33-C34-C36-C37-C35-C38</f>
        <v>8945.599999999999</v>
      </c>
      <c r="D39" s="128">
        <f>D33-D34-D36-D37-D35-D38</f>
        <v>1758.4000000000003</v>
      </c>
      <c r="E39" s="107">
        <f>D39/D33*100</f>
        <v>30.819384804136362</v>
      </c>
      <c r="F39" s="107">
        <f t="shared" si="3"/>
        <v>57.627896306492346</v>
      </c>
      <c r="G39" s="107">
        <f t="shared" si="0"/>
        <v>19.656590949740664</v>
      </c>
      <c r="H39" s="105">
        <f>B39-D39</f>
        <v>1292.899999999999</v>
      </c>
      <c r="I39" s="105">
        <f t="shared" si="1"/>
        <v>7187.199999999998</v>
      </c>
      <c r="K39" s="156"/>
    </row>
    <row r="40" spans="1:11" ht="18.75" hidden="1" thickBot="1">
      <c r="A40" s="74" t="s">
        <v>66</v>
      </c>
      <c r="B40" s="75"/>
      <c r="C40" s="75"/>
      <c r="D40" s="75"/>
      <c r="E40" s="73"/>
      <c r="F40" s="73" t="e">
        <f t="shared" si="3"/>
        <v>#DIV/0!</v>
      </c>
      <c r="G40" s="73" t="e">
        <f t="shared" si="0"/>
        <v>#DIV/0!</v>
      </c>
      <c r="H40" s="79">
        <f>B40-D40</f>
        <v>0</v>
      </c>
      <c r="I40" s="79">
        <f t="shared" si="1"/>
        <v>0</v>
      </c>
      <c r="J40" s="93"/>
      <c r="K40" s="156">
        <f>C40-B40</f>
        <v>0</v>
      </c>
    </row>
    <row r="41" spans="1:11" ht="18.75" hidden="1" thickBot="1">
      <c r="A41" s="74" t="s">
        <v>67</v>
      </c>
      <c r="B41" s="75"/>
      <c r="C41" s="75"/>
      <c r="D41" s="75"/>
      <c r="E41" s="73"/>
      <c r="F41" s="73" t="e">
        <f t="shared" si="3"/>
        <v>#DIV/0!</v>
      </c>
      <c r="G41" s="73" t="e">
        <f t="shared" si="0"/>
        <v>#DIV/0!</v>
      </c>
      <c r="H41" s="79">
        <f>B41-D41</f>
        <v>0</v>
      </c>
      <c r="I41" s="79">
        <f t="shared" si="1"/>
        <v>0</v>
      </c>
      <c r="J41" s="93"/>
      <c r="K41" s="156">
        <f>C41-B41</f>
        <v>0</v>
      </c>
    </row>
    <row r="42" spans="1:11" ht="18.75" hidden="1" thickBot="1">
      <c r="A42" s="74" t="s">
        <v>68</v>
      </c>
      <c r="B42" s="75"/>
      <c r="C42" s="75"/>
      <c r="D42" s="75"/>
      <c r="E42" s="73"/>
      <c r="F42" s="73"/>
      <c r="G42" s="73" t="e">
        <f t="shared" si="0"/>
        <v>#DIV/0!</v>
      </c>
      <c r="H42" s="79">
        <f>B42-D42</f>
        <v>0</v>
      </c>
      <c r="I42" s="79">
        <f t="shared" si="1"/>
        <v>0</v>
      </c>
      <c r="J42" s="93"/>
      <c r="K42" s="156">
        <f>C42-B42</f>
        <v>0</v>
      </c>
    </row>
    <row r="43" spans="1:11" ht="18.75" thickBot="1">
      <c r="A43" s="12" t="s">
        <v>16</v>
      </c>
      <c r="B43" s="76">
        <f>846.5+87</f>
        <v>933.5</v>
      </c>
      <c r="C43" s="39">
        <f>1126.9+467</f>
        <v>1593.9</v>
      </c>
      <c r="D43" s="40">
        <f>63.9+1.1+0.6+70.8+0.5+48</f>
        <v>184.89999999999998</v>
      </c>
      <c r="E43" s="3">
        <f>D43/D153*100</f>
        <v>0.03879389385369603</v>
      </c>
      <c r="F43" s="3">
        <f>D43/B43*100</f>
        <v>19.80717728976968</v>
      </c>
      <c r="G43" s="3">
        <f t="shared" si="0"/>
        <v>11.60047681786812</v>
      </c>
      <c r="H43" s="40">
        <f t="shared" si="2"/>
        <v>748.6</v>
      </c>
      <c r="I43" s="40">
        <f t="shared" si="1"/>
        <v>1409</v>
      </c>
      <c r="J43" s="93"/>
      <c r="K43" s="156"/>
    </row>
    <row r="44" spans="1:11" ht="12" customHeight="1" thickBot="1">
      <c r="A44" s="23"/>
      <c r="B44" s="46"/>
      <c r="C44" s="47"/>
      <c r="D44" s="48"/>
      <c r="E44" s="7"/>
      <c r="F44" s="7"/>
      <c r="G44" s="7"/>
      <c r="H44" s="48"/>
      <c r="I44" s="48"/>
      <c r="J44" s="93"/>
      <c r="K44" s="156"/>
    </row>
    <row r="45" spans="1:11" ht="18.75" thickBot="1">
      <c r="A45" s="20" t="s">
        <v>44</v>
      </c>
      <c r="B45" s="38">
        <v>4560.2</v>
      </c>
      <c r="C45" s="39">
        <v>13576.3</v>
      </c>
      <c r="D45" s="40">
        <f>237.1+562.8+52.3+349.2+679.9+375.9+891+78.3+327.4</f>
        <v>3553.9</v>
      </c>
      <c r="E45" s="3">
        <f>D45/D153*100</f>
        <v>0.7456442367044368</v>
      </c>
      <c r="F45" s="3">
        <f>D45/B45*100</f>
        <v>77.9329853953774</v>
      </c>
      <c r="G45" s="3">
        <f aca="true" t="shared" si="5" ref="G45:G76">D45/C45*100</f>
        <v>26.17723532921341</v>
      </c>
      <c r="H45" s="40">
        <f>B45-D45</f>
        <v>1006.2999999999997</v>
      </c>
      <c r="I45" s="40">
        <f aca="true" t="shared" si="6" ref="I45:I77">C45-D45</f>
        <v>10022.4</v>
      </c>
      <c r="J45" s="93"/>
      <c r="K45" s="156"/>
    </row>
    <row r="46" spans="1:11" s="93" customFormat="1" ht="18">
      <c r="A46" s="103" t="s">
        <v>3</v>
      </c>
      <c r="B46" s="128">
        <v>3938.4</v>
      </c>
      <c r="C46" s="129">
        <v>12256.4</v>
      </c>
      <c r="D46" s="105">
        <f>237.1+551.8+334.1+652.5+314.7+746.1+319.2</f>
        <v>3155.4999999999995</v>
      </c>
      <c r="E46" s="107">
        <f>D46/D45*100</f>
        <v>88.78978024142489</v>
      </c>
      <c r="F46" s="107">
        <f aca="true" t="shared" si="7" ref="F46:F74">D46/B46*100</f>
        <v>80.12136908389192</v>
      </c>
      <c r="G46" s="107">
        <f t="shared" si="5"/>
        <v>25.745732841617436</v>
      </c>
      <c r="H46" s="105">
        <f aca="true" t="shared" si="8" ref="H46:H74">B46-D46</f>
        <v>782.9000000000005</v>
      </c>
      <c r="I46" s="105">
        <f t="shared" si="6"/>
        <v>9100.9</v>
      </c>
      <c r="K46" s="156"/>
    </row>
    <row r="47" spans="1:11" s="93" customFormat="1" ht="18">
      <c r="A47" s="103" t="s">
        <v>2</v>
      </c>
      <c r="B47" s="128">
        <v>0.8</v>
      </c>
      <c r="C47" s="129">
        <v>1.5</v>
      </c>
      <c r="D47" s="105"/>
      <c r="E47" s="107">
        <f>D47/D45*100</f>
        <v>0</v>
      </c>
      <c r="F47" s="107">
        <f t="shared" si="7"/>
        <v>0</v>
      </c>
      <c r="G47" s="107">
        <f t="shared" si="5"/>
        <v>0</v>
      </c>
      <c r="H47" s="105">
        <f t="shared" si="8"/>
        <v>0.8</v>
      </c>
      <c r="I47" s="105">
        <f t="shared" si="6"/>
        <v>1.5</v>
      </c>
      <c r="K47" s="156"/>
    </row>
    <row r="48" spans="1:11" s="93" customFormat="1" ht="18">
      <c r="A48" s="103" t="s">
        <v>1</v>
      </c>
      <c r="B48" s="128">
        <v>29.8</v>
      </c>
      <c r="C48" s="129">
        <v>98.9</v>
      </c>
      <c r="D48" s="105">
        <f>5.7+6.1+6.5</f>
        <v>18.3</v>
      </c>
      <c r="E48" s="107">
        <f>D48/D45*100</f>
        <v>0.5149272630068376</v>
      </c>
      <c r="F48" s="107">
        <f t="shared" si="7"/>
        <v>61.40939597315437</v>
      </c>
      <c r="G48" s="107">
        <f t="shared" si="5"/>
        <v>18.503538928210315</v>
      </c>
      <c r="H48" s="105">
        <f t="shared" si="8"/>
        <v>11.5</v>
      </c>
      <c r="I48" s="105">
        <f t="shared" si="6"/>
        <v>80.60000000000001</v>
      </c>
      <c r="K48" s="156"/>
    </row>
    <row r="49" spans="1:11" s="93" customFormat="1" ht="18">
      <c r="A49" s="103" t="s">
        <v>0</v>
      </c>
      <c r="B49" s="128">
        <v>495.8</v>
      </c>
      <c r="C49" s="129">
        <v>879.8</v>
      </c>
      <c r="D49" s="105">
        <f>7.3+51.9+12.7-0.1+54.5+131.2+49.5</f>
        <v>307</v>
      </c>
      <c r="E49" s="107">
        <f>D49/D45*100</f>
        <v>8.638397253721264</v>
      </c>
      <c r="F49" s="107">
        <f t="shared" si="7"/>
        <v>61.920129084308186</v>
      </c>
      <c r="G49" s="107">
        <f t="shared" si="5"/>
        <v>34.89429415776313</v>
      </c>
      <c r="H49" s="105">
        <f t="shared" si="8"/>
        <v>188.8</v>
      </c>
      <c r="I49" s="105">
        <f t="shared" si="6"/>
        <v>572.8</v>
      </c>
      <c r="K49" s="156"/>
    </row>
    <row r="50" spans="1:11" s="93" customFormat="1" ht="18.75" thickBot="1">
      <c r="A50" s="103" t="s">
        <v>27</v>
      </c>
      <c r="B50" s="129">
        <f>B45-B46-B49-B48-B47</f>
        <v>95.39999999999972</v>
      </c>
      <c r="C50" s="129">
        <f>C45-C46-C49-C48-C47</f>
        <v>339.6999999999997</v>
      </c>
      <c r="D50" s="129">
        <f>D45-D46-D49-D48-D47</f>
        <v>73.10000000000055</v>
      </c>
      <c r="E50" s="107">
        <f>D50/D45*100</f>
        <v>2.056895241847</v>
      </c>
      <c r="F50" s="107">
        <f t="shared" si="7"/>
        <v>76.62473794549346</v>
      </c>
      <c r="G50" s="107">
        <f t="shared" si="5"/>
        <v>21.518987341772334</v>
      </c>
      <c r="H50" s="105">
        <f t="shared" si="8"/>
        <v>22.299999999999173</v>
      </c>
      <c r="I50" s="105">
        <f t="shared" si="6"/>
        <v>266.59999999999917</v>
      </c>
      <c r="K50" s="156"/>
    </row>
    <row r="51" spans="1:11" ht="18.75" thickBot="1">
      <c r="A51" s="20" t="s">
        <v>4</v>
      </c>
      <c r="B51" s="38">
        <v>10601.9</v>
      </c>
      <c r="C51" s="39">
        <v>37135.4</v>
      </c>
      <c r="D51" s="40">
        <f>632.9+35.2+911.5+180.2+1+93.6+110+157.4+908.3+5.2+0.4+827.7+156.7+1.3+214.8+344.6+657.7+47.5+111.7+17+80.2+154.3+72.4+1021.3+20+1.6+151.9+235.3+35.5+146.1+691+107.9+33.3</f>
        <v>8165.5</v>
      </c>
      <c r="E51" s="3">
        <f>D51/D153*100</f>
        <v>1.7132046525816929</v>
      </c>
      <c r="F51" s="3">
        <f>D51/B51*100</f>
        <v>77.01921353719617</v>
      </c>
      <c r="G51" s="3">
        <f t="shared" si="5"/>
        <v>21.9884530663464</v>
      </c>
      <c r="H51" s="40">
        <f>B51-D51</f>
        <v>2436.3999999999996</v>
      </c>
      <c r="I51" s="40">
        <f t="shared" si="6"/>
        <v>28969.9</v>
      </c>
      <c r="J51" s="93"/>
      <c r="K51" s="156"/>
    </row>
    <row r="52" spans="1:11" s="93" customFormat="1" ht="18">
      <c r="A52" s="103" t="s">
        <v>3</v>
      </c>
      <c r="B52" s="128">
        <v>6074.9</v>
      </c>
      <c r="C52" s="129">
        <v>20097.4</v>
      </c>
      <c r="D52" s="105">
        <f>632.9+34.3+767.3+737.6+710.6+649.6+792.4+1.6+643.1</f>
        <v>4969.400000000001</v>
      </c>
      <c r="E52" s="107">
        <f>D52/D51*100</f>
        <v>60.85848998836569</v>
      </c>
      <c r="F52" s="107">
        <f t="shared" si="7"/>
        <v>81.80216958303842</v>
      </c>
      <c r="G52" s="107">
        <f t="shared" si="5"/>
        <v>24.726581547861915</v>
      </c>
      <c r="H52" s="105">
        <f t="shared" si="8"/>
        <v>1105.499999999999</v>
      </c>
      <c r="I52" s="105">
        <f t="shared" si="6"/>
        <v>15128</v>
      </c>
      <c r="K52" s="156"/>
    </row>
    <row r="53" spans="1:11" s="93" customFormat="1" ht="18">
      <c r="A53" s="103" t="s">
        <v>2</v>
      </c>
      <c r="B53" s="128">
        <v>0</v>
      </c>
      <c r="C53" s="129">
        <v>13.9</v>
      </c>
      <c r="D53" s="105"/>
      <c r="E53" s="107">
        <f>D53/D51*100</f>
        <v>0</v>
      </c>
      <c r="F53" s="107" t="e">
        <f>D53/B53*100</f>
        <v>#DIV/0!</v>
      </c>
      <c r="G53" s="107">
        <f t="shared" si="5"/>
        <v>0</v>
      </c>
      <c r="H53" s="105">
        <f t="shared" si="8"/>
        <v>0</v>
      </c>
      <c r="I53" s="105">
        <f t="shared" si="6"/>
        <v>13.9</v>
      </c>
      <c r="K53" s="156"/>
    </row>
    <row r="54" spans="1:11" s="93" customFormat="1" ht="18">
      <c r="A54" s="103" t="s">
        <v>1</v>
      </c>
      <c r="B54" s="128">
        <v>325.5</v>
      </c>
      <c r="C54" s="129">
        <v>993.6</v>
      </c>
      <c r="D54" s="105">
        <f>0.2+4.2+9+4.7+9.6+6.3+43.2+2.7+18.4+3.8+23.8+5.3+12.2+43.2+26.7+3.8+22.4</f>
        <v>239.50000000000003</v>
      </c>
      <c r="E54" s="107">
        <f>D54/D51*100</f>
        <v>2.9330720715204217</v>
      </c>
      <c r="F54" s="107">
        <f t="shared" si="7"/>
        <v>73.57910906298004</v>
      </c>
      <c r="G54" s="107">
        <f t="shared" si="5"/>
        <v>24.10426731078905</v>
      </c>
      <c r="H54" s="105">
        <f t="shared" si="8"/>
        <v>85.99999999999997</v>
      </c>
      <c r="I54" s="105">
        <f t="shared" si="6"/>
        <v>754.1</v>
      </c>
      <c r="K54" s="156"/>
    </row>
    <row r="55" spans="1:11" s="93" customFormat="1" ht="18">
      <c r="A55" s="103" t="s">
        <v>0</v>
      </c>
      <c r="B55" s="128">
        <v>485.1</v>
      </c>
      <c r="C55" s="129">
        <v>1219.9</v>
      </c>
      <c r="D55" s="105">
        <f>0.5+1+2.8+12.3+8.3+0.5+0.4+8.7+15+0.3+1.3+64.9+33.6+8.1+0.1+94.7+0.3+9.8+7.8+0.9+1.8+16.2+18.3+3.3</f>
        <v>310.90000000000003</v>
      </c>
      <c r="E55" s="107">
        <f>D55/D51*100</f>
        <v>3.8074827016104345</v>
      </c>
      <c r="F55" s="107">
        <f t="shared" si="7"/>
        <v>64.08987837559266</v>
      </c>
      <c r="G55" s="107">
        <f t="shared" si="5"/>
        <v>25.485695548815478</v>
      </c>
      <c r="H55" s="105">
        <f t="shared" si="8"/>
        <v>174.2</v>
      </c>
      <c r="I55" s="105">
        <f t="shared" si="6"/>
        <v>909</v>
      </c>
      <c r="K55" s="156"/>
    </row>
    <row r="56" spans="1:11" s="93" customFormat="1" ht="18">
      <c r="A56" s="103" t="s">
        <v>14</v>
      </c>
      <c r="B56" s="128">
        <v>440</v>
      </c>
      <c r="C56" s="129">
        <v>1320</v>
      </c>
      <c r="D56" s="129">
        <f>110+110+110</f>
        <v>330</v>
      </c>
      <c r="E56" s="107">
        <f>D56/D51*100</f>
        <v>4.041393668483253</v>
      </c>
      <c r="F56" s="107">
        <f>D56/B56*100</f>
        <v>75</v>
      </c>
      <c r="G56" s="107">
        <f>D56/C56*100</f>
        <v>25</v>
      </c>
      <c r="H56" s="105">
        <f t="shared" si="8"/>
        <v>110</v>
      </c>
      <c r="I56" s="105">
        <f t="shared" si="6"/>
        <v>990</v>
      </c>
      <c r="K56" s="156"/>
    </row>
    <row r="57" spans="1:11" s="93" customFormat="1" ht="18.75" thickBot="1">
      <c r="A57" s="103" t="s">
        <v>27</v>
      </c>
      <c r="B57" s="129">
        <f>B51-B52-B55-B54-B53-B56</f>
        <v>3276.4</v>
      </c>
      <c r="C57" s="129">
        <f>C51-C52-C55-C54-C53-C56</f>
        <v>13490.6</v>
      </c>
      <c r="D57" s="129">
        <f>D51-D52-D55-D54-D53-D56</f>
        <v>2315.6999999999994</v>
      </c>
      <c r="E57" s="107">
        <f>D57/D51*100</f>
        <v>28.359561570020198</v>
      </c>
      <c r="F57" s="107">
        <f t="shared" si="7"/>
        <v>70.67818337199363</v>
      </c>
      <c r="G57" s="107">
        <f t="shared" si="5"/>
        <v>17.165285458022616</v>
      </c>
      <c r="H57" s="105">
        <f>B57-D57</f>
        <v>960.7000000000007</v>
      </c>
      <c r="I57" s="105">
        <f>C57-D57</f>
        <v>11174.900000000001</v>
      </c>
      <c r="K57" s="156"/>
    </row>
    <row r="58" spans="1:11" s="32" customFormat="1" ht="18.75" hidden="1" thickBot="1">
      <c r="A58" s="74" t="s">
        <v>65</v>
      </c>
      <c r="B58" s="72"/>
      <c r="C58" s="72"/>
      <c r="D58" s="72"/>
      <c r="E58" s="1"/>
      <c r="F58" s="73" t="e">
        <f t="shared" si="7"/>
        <v>#DIV/0!</v>
      </c>
      <c r="G58" s="73" t="e">
        <f t="shared" si="5"/>
        <v>#DIV/0!</v>
      </c>
      <c r="H58" s="79">
        <f t="shared" si="8"/>
        <v>0</v>
      </c>
      <c r="I58" s="79">
        <f>C58-D58</f>
        <v>0</v>
      </c>
      <c r="J58" s="94"/>
      <c r="K58" s="156">
        <f>C58-B58</f>
        <v>0</v>
      </c>
    </row>
    <row r="59" spans="1:11" ht="18.75" thickBot="1">
      <c r="A59" s="20" t="s">
        <v>6</v>
      </c>
      <c r="B59" s="38">
        <v>1312.6</v>
      </c>
      <c r="C59" s="39">
        <v>9264.2</v>
      </c>
      <c r="D59" s="40">
        <f>87.7+79.1+87.8+43.2+40.5+47.6+13+155.9+18+2.1+84.2+29.6+0.7+0.5+5.7+85.8+109.2+19+38.3+85.7</f>
        <v>1033.6000000000001</v>
      </c>
      <c r="E59" s="3">
        <f>D59/D153*100</f>
        <v>0.21685975493337065</v>
      </c>
      <c r="F59" s="3">
        <f>D59/B59*100</f>
        <v>78.74447661130583</v>
      </c>
      <c r="G59" s="3">
        <f t="shared" si="5"/>
        <v>11.156926663932126</v>
      </c>
      <c r="H59" s="40">
        <f>B59-D59</f>
        <v>278.9999999999998</v>
      </c>
      <c r="I59" s="40">
        <f t="shared" si="6"/>
        <v>8230.6</v>
      </c>
      <c r="J59" s="93"/>
      <c r="K59" s="156"/>
    </row>
    <row r="60" spans="1:11" s="93" customFormat="1" ht="18">
      <c r="A60" s="103" t="s">
        <v>3</v>
      </c>
      <c r="B60" s="128">
        <v>1003.3</v>
      </c>
      <c r="C60" s="129">
        <v>3119.7</v>
      </c>
      <c r="D60" s="105">
        <f>77.7+79.1+76.9+40.5+47.3+155.9+45+29.2+85.8+95.3+38.3+30.7</f>
        <v>801.7</v>
      </c>
      <c r="E60" s="107">
        <f>D60/D59*100</f>
        <v>77.56385448916409</v>
      </c>
      <c r="F60" s="107">
        <f t="shared" si="7"/>
        <v>79.90630917970698</v>
      </c>
      <c r="G60" s="107">
        <f t="shared" si="5"/>
        <v>25.697983780491718</v>
      </c>
      <c r="H60" s="105">
        <f t="shared" si="8"/>
        <v>201.5999999999999</v>
      </c>
      <c r="I60" s="105">
        <f t="shared" si="6"/>
        <v>2318</v>
      </c>
      <c r="K60" s="156"/>
    </row>
    <row r="61" spans="1:11" s="93" customFormat="1" ht="18">
      <c r="A61" s="103" t="s">
        <v>1</v>
      </c>
      <c r="B61" s="128">
        <v>0</v>
      </c>
      <c r="C61" s="129">
        <v>360.7</v>
      </c>
      <c r="D61" s="105"/>
      <c r="E61" s="107">
        <f>D61/D59*100</f>
        <v>0</v>
      </c>
      <c r="F61" s="107" t="e">
        <f>D61/B61*100</f>
        <v>#DIV/0!</v>
      </c>
      <c r="G61" s="107">
        <f t="shared" si="5"/>
        <v>0</v>
      </c>
      <c r="H61" s="105">
        <f t="shared" si="8"/>
        <v>0</v>
      </c>
      <c r="I61" s="105">
        <f t="shared" si="6"/>
        <v>360.7</v>
      </c>
      <c r="K61" s="156"/>
    </row>
    <row r="62" spans="1:11" s="93" customFormat="1" ht="18">
      <c r="A62" s="103" t="s">
        <v>0</v>
      </c>
      <c r="B62" s="128">
        <v>208.3</v>
      </c>
      <c r="C62" s="129">
        <v>393.7</v>
      </c>
      <c r="D62" s="105">
        <f>10.9+43.2+13-3+39.2+5.7+50.2</f>
        <v>159.2</v>
      </c>
      <c r="E62" s="107">
        <f>D62/D59*100</f>
        <v>15.402476780185756</v>
      </c>
      <c r="F62" s="107">
        <f t="shared" si="7"/>
        <v>76.42822851656264</v>
      </c>
      <c r="G62" s="107">
        <f t="shared" si="5"/>
        <v>40.436880873761744</v>
      </c>
      <c r="H62" s="105">
        <f t="shared" si="8"/>
        <v>49.10000000000002</v>
      </c>
      <c r="I62" s="105">
        <f t="shared" si="6"/>
        <v>234.5</v>
      </c>
      <c r="K62" s="156"/>
    </row>
    <row r="63" spans="1:11" s="93" customFormat="1" ht="18">
      <c r="A63" s="103" t="s">
        <v>14</v>
      </c>
      <c r="B63" s="128">
        <v>0</v>
      </c>
      <c r="C63" s="129">
        <v>4866.6</v>
      </c>
      <c r="D63" s="105">
        <v>0</v>
      </c>
      <c r="E63" s="107">
        <f>D63/D59*100</f>
        <v>0</v>
      </c>
      <c r="F63" s="107" t="e">
        <f t="shared" si="7"/>
        <v>#DIV/0!</v>
      </c>
      <c r="G63" s="107">
        <f t="shared" si="5"/>
        <v>0</v>
      </c>
      <c r="H63" s="105">
        <f t="shared" si="8"/>
        <v>0</v>
      </c>
      <c r="I63" s="105">
        <f t="shared" si="6"/>
        <v>4866.6</v>
      </c>
      <c r="K63" s="156"/>
    </row>
    <row r="64" spans="1:11" s="93" customFormat="1" ht="18.75" thickBot="1">
      <c r="A64" s="103" t="s">
        <v>27</v>
      </c>
      <c r="B64" s="129">
        <f>B59-B60-B62-B63-B61</f>
        <v>100.99999999999994</v>
      </c>
      <c r="C64" s="129">
        <f>C59-C60-C62-C63-C61</f>
        <v>523.5000000000007</v>
      </c>
      <c r="D64" s="129">
        <f>D59-D60-D62-D63-D61</f>
        <v>72.7000000000001</v>
      </c>
      <c r="E64" s="107">
        <f>D64/D59*100</f>
        <v>7.033668730650164</v>
      </c>
      <c r="F64" s="107">
        <f t="shared" si="7"/>
        <v>71.98019801980212</v>
      </c>
      <c r="G64" s="107">
        <f t="shared" si="5"/>
        <v>13.887297039159504</v>
      </c>
      <c r="H64" s="105">
        <f t="shared" si="8"/>
        <v>28.29999999999984</v>
      </c>
      <c r="I64" s="105">
        <f t="shared" si="6"/>
        <v>450.8000000000006</v>
      </c>
      <c r="K64" s="156"/>
    </row>
    <row r="65" spans="1:11" s="32" customFormat="1" ht="18.75" hidden="1" thickBot="1">
      <c r="A65" s="74" t="s">
        <v>76</v>
      </c>
      <c r="B65" s="72"/>
      <c r="C65" s="72"/>
      <c r="D65" s="72"/>
      <c r="E65" s="73"/>
      <c r="F65" s="73" t="e">
        <f>D65/B65*100</f>
        <v>#DIV/0!</v>
      </c>
      <c r="G65" s="73" t="e">
        <f>D65/C65*100</f>
        <v>#DIV/0!</v>
      </c>
      <c r="H65" s="79">
        <f t="shared" si="8"/>
        <v>0</v>
      </c>
      <c r="I65" s="79">
        <f t="shared" si="6"/>
        <v>0</v>
      </c>
      <c r="J65" s="94"/>
      <c r="K65" s="156">
        <f>C65-B65</f>
        <v>0</v>
      </c>
    </row>
    <row r="66" spans="1:11" s="32" customFormat="1" ht="18.75" hidden="1" thickBot="1">
      <c r="A66" s="74" t="s">
        <v>62</v>
      </c>
      <c r="B66" s="72"/>
      <c r="C66" s="72"/>
      <c r="D66" s="72"/>
      <c r="E66" s="73"/>
      <c r="F66" s="73" t="e">
        <f t="shared" si="7"/>
        <v>#DIV/0!</v>
      </c>
      <c r="G66" s="73" t="e">
        <f t="shared" si="5"/>
        <v>#DIV/0!</v>
      </c>
      <c r="H66" s="79">
        <f t="shared" si="8"/>
        <v>0</v>
      </c>
      <c r="I66" s="79">
        <f t="shared" si="6"/>
        <v>0</v>
      </c>
      <c r="J66" s="94"/>
      <c r="K66" s="156">
        <f>C66-B66</f>
        <v>0</v>
      </c>
    </row>
    <row r="67" spans="1:11" s="32" customFormat="1" ht="18.75" hidden="1" thickBot="1">
      <c r="A67" s="74" t="s">
        <v>63</v>
      </c>
      <c r="B67" s="72"/>
      <c r="C67" s="72"/>
      <c r="D67" s="72"/>
      <c r="E67" s="73"/>
      <c r="F67" s="73" t="e">
        <f t="shared" si="7"/>
        <v>#DIV/0!</v>
      </c>
      <c r="G67" s="73" t="e">
        <f t="shared" si="5"/>
        <v>#DIV/0!</v>
      </c>
      <c r="H67" s="79">
        <f t="shared" si="8"/>
        <v>0</v>
      </c>
      <c r="I67" s="79">
        <f t="shared" si="6"/>
        <v>0</v>
      </c>
      <c r="J67" s="94"/>
      <c r="K67" s="156">
        <f>C67-B67</f>
        <v>0</v>
      </c>
    </row>
    <row r="68" spans="1:11" s="32" customFormat="1" ht="18.75" hidden="1" thickBot="1">
      <c r="A68" s="74" t="s">
        <v>64</v>
      </c>
      <c r="B68" s="72"/>
      <c r="C68" s="72"/>
      <c r="D68" s="72"/>
      <c r="E68" s="73"/>
      <c r="F68" s="73" t="e">
        <f t="shared" si="7"/>
        <v>#DIV/0!</v>
      </c>
      <c r="G68" s="73" t="e">
        <f t="shared" si="5"/>
        <v>#DIV/0!</v>
      </c>
      <c r="H68" s="79">
        <f t="shared" si="8"/>
        <v>0</v>
      </c>
      <c r="I68" s="79">
        <f t="shared" si="6"/>
        <v>0</v>
      </c>
      <c r="J68" s="94"/>
      <c r="K68" s="156">
        <f>C68-B68</f>
        <v>0</v>
      </c>
    </row>
    <row r="69" spans="1:11" ht="18.75" thickBot="1">
      <c r="A69" s="20" t="s">
        <v>20</v>
      </c>
      <c r="B69" s="39">
        <f>B70+B71</f>
        <v>332.2</v>
      </c>
      <c r="C69" s="39">
        <f>C70+C71</f>
        <v>555.8</v>
      </c>
      <c r="D69" s="40">
        <f>D70+D71</f>
        <v>169.5</v>
      </c>
      <c r="E69" s="30">
        <f>D69/D153*100</f>
        <v>0.035562817783674844</v>
      </c>
      <c r="F69" s="3">
        <f>D69/B69*100</f>
        <v>51.023479831426855</v>
      </c>
      <c r="G69" s="3">
        <f t="shared" si="5"/>
        <v>30.49658150413818</v>
      </c>
      <c r="H69" s="40">
        <f>B69-D69</f>
        <v>162.7</v>
      </c>
      <c r="I69" s="40">
        <f t="shared" si="6"/>
        <v>386.29999999999995</v>
      </c>
      <c r="J69" s="93"/>
      <c r="K69" s="156"/>
    </row>
    <row r="70" spans="1:11" s="93" customFormat="1" ht="18">
      <c r="A70" s="103" t="s">
        <v>8</v>
      </c>
      <c r="B70" s="128">
        <v>242.2</v>
      </c>
      <c r="C70" s="129">
        <v>292.7</v>
      </c>
      <c r="D70" s="105">
        <v>169.5</v>
      </c>
      <c r="E70" s="107">
        <f>D70/D69*100</f>
        <v>100</v>
      </c>
      <c r="F70" s="107">
        <f t="shared" si="7"/>
        <v>69.98348472336912</v>
      </c>
      <c r="G70" s="107">
        <f t="shared" si="5"/>
        <v>57.90912196788521</v>
      </c>
      <c r="H70" s="105">
        <f t="shared" si="8"/>
        <v>72.69999999999999</v>
      </c>
      <c r="I70" s="105">
        <f t="shared" si="6"/>
        <v>123.19999999999999</v>
      </c>
      <c r="K70" s="156"/>
    </row>
    <row r="71" spans="1:11" s="93" customFormat="1" ht="18.75" thickBot="1">
      <c r="A71" s="103" t="s">
        <v>9</v>
      </c>
      <c r="B71" s="128">
        <v>90</v>
      </c>
      <c r="C71" s="129">
        <f>293.1-30</f>
        <v>263.1</v>
      </c>
      <c r="D71" s="105"/>
      <c r="E71" s="107">
        <f>D71/D70*100</f>
        <v>0</v>
      </c>
      <c r="F71" s="107">
        <f t="shared" si="7"/>
        <v>0</v>
      </c>
      <c r="G71" s="107">
        <f t="shared" si="5"/>
        <v>0</v>
      </c>
      <c r="H71" s="105">
        <f t="shared" si="8"/>
        <v>90</v>
      </c>
      <c r="I71" s="105">
        <f t="shared" si="6"/>
        <v>263.1</v>
      </c>
      <c r="K71" s="156"/>
    </row>
    <row r="72" spans="1:11" ht="36.75" hidden="1" thickBot="1">
      <c r="A72" s="12" t="s">
        <v>41</v>
      </c>
      <c r="B72" s="45"/>
      <c r="C72" s="39">
        <f>C73+C74+C75+C76</f>
        <v>0</v>
      </c>
      <c r="D72" s="39">
        <f>D73+D74+D75+D76</f>
        <v>0</v>
      </c>
      <c r="E72" s="3">
        <f>D72/D153*100</f>
        <v>0</v>
      </c>
      <c r="F72" s="3" t="e">
        <f>D72/B72*100</f>
        <v>#DIV/0!</v>
      </c>
      <c r="G72" s="3" t="e">
        <f t="shared" si="5"/>
        <v>#DIV/0!</v>
      </c>
      <c r="H72" s="40">
        <f>B72-D72</f>
        <v>0</v>
      </c>
      <c r="I72" s="40">
        <f t="shared" si="6"/>
        <v>0</v>
      </c>
      <c r="J72" s="93"/>
      <c r="K72" s="156"/>
    </row>
    <row r="73" spans="1:11" ht="18" hidden="1">
      <c r="A73" s="16" t="s">
        <v>45</v>
      </c>
      <c r="B73" s="43"/>
      <c r="C73" s="49"/>
      <c r="D73" s="41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7">
        <f t="shared" si="8"/>
        <v>0</v>
      </c>
      <c r="I73" s="37">
        <f t="shared" si="6"/>
        <v>0</v>
      </c>
      <c r="J73" s="93"/>
      <c r="K73" s="156"/>
    </row>
    <row r="74" spans="1:11" ht="18" hidden="1">
      <c r="A74" s="16" t="s">
        <v>46</v>
      </c>
      <c r="B74" s="43"/>
      <c r="C74" s="49"/>
      <c r="D74" s="41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7">
        <f t="shared" si="8"/>
        <v>0</v>
      </c>
      <c r="I74" s="37">
        <f t="shared" si="6"/>
        <v>0</v>
      </c>
      <c r="J74" s="93"/>
      <c r="K74" s="156"/>
    </row>
    <row r="75" spans="1:11" ht="18" hidden="1">
      <c r="A75" s="22" t="s">
        <v>34</v>
      </c>
      <c r="B75" s="50"/>
      <c r="C75" s="51"/>
      <c r="D75" s="52"/>
      <c r="E75" s="27" t="e">
        <f>D75/D72*100</f>
        <v>#DIV/0!</v>
      </c>
      <c r="F75" s="27"/>
      <c r="G75" s="1" t="e">
        <f t="shared" si="5"/>
        <v>#DIV/0!</v>
      </c>
      <c r="H75" s="37"/>
      <c r="I75" s="37">
        <f t="shared" si="6"/>
        <v>0</v>
      </c>
      <c r="J75" s="93"/>
      <c r="K75" s="156"/>
    </row>
    <row r="76" spans="1:11" ht="18.75" hidden="1" thickBot="1">
      <c r="A76" s="22" t="s">
        <v>42</v>
      </c>
      <c r="B76" s="50"/>
      <c r="C76" s="51"/>
      <c r="D76" s="52"/>
      <c r="E76" s="27" t="e">
        <f>D76/D72*100</f>
        <v>#DIV/0!</v>
      </c>
      <c r="F76" s="27"/>
      <c r="G76" s="1" t="e">
        <f t="shared" si="5"/>
        <v>#DIV/0!</v>
      </c>
      <c r="H76" s="37"/>
      <c r="I76" s="37">
        <f t="shared" si="6"/>
        <v>0</v>
      </c>
      <c r="J76" s="93"/>
      <c r="K76" s="156"/>
    </row>
    <row r="77" spans="1:11" s="32" customFormat="1" ht="18.75" thickBot="1">
      <c r="A77" s="23" t="s">
        <v>13</v>
      </c>
      <c r="B77" s="46">
        <v>0</v>
      </c>
      <c r="C77" s="53">
        <v>17000</v>
      </c>
      <c r="D77" s="54"/>
      <c r="E77" s="34"/>
      <c r="F77" s="34"/>
      <c r="G77" s="34"/>
      <c r="H77" s="54">
        <f>B77-D77</f>
        <v>0</v>
      </c>
      <c r="I77" s="54">
        <f t="shared" si="6"/>
        <v>17000</v>
      </c>
      <c r="J77" s="94"/>
      <c r="K77" s="156"/>
    </row>
    <row r="78" spans="1:11" ht="8.25" customHeight="1" thickBot="1">
      <c r="A78" s="16"/>
      <c r="B78" s="43"/>
      <c r="C78" s="51"/>
      <c r="D78" s="52"/>
      <c r="E78" s="6"/>
      <c r="F78" s="6"/>
      <c r="G78" s="6"/>
      <c r="H78" s="52"/>
      <c r="I78" s="86"/>
      <c r="J78" s="93"/>
      <c r="K78" s="156"/>
    </row>
    <row r="79" spans="1:11" ht="18.75" customHeight="1" hidden="1" thickBot="1">
      <c r="A79" s="12" t="s">
        <v>56</v>
      </c>
      <c r="B79" s="45"/>
      <c r="C79" s="39"/>
      <c r="D79" s="39"/>
      <c r="E79" s="3">
        <f>D79/D153*100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0">
        <f>B79-D79</f>
        <v>0</v>
      </c>
      <c r="I79" s="40">
        <f aca="true" t="shared" si="10" ref="I79:I93">C79-D79</f>
        <v>0</v>
      </c>
      <c r="J79" s="93"/>
      <c r="K79" s="156"/>
    </row>
    <row r="80" spans="1:11" s="8" customFormat="1" ht="18" hidden="1">
      <c r="A80" s="9" t="s">
        <v>55</v>
      </c>
      <c r="B80" s="55"/>
      <c r="C80" s="36"/>
      <c r="D80" s="37"/>
      <c r="E80" s="71"/>
      <c r="F80" s="1" t="e">
        <f>D80/B80*100</f>
        <v>#DIV/0!</v>
      </c>
      <c r="G80" s="1" t="e">
        <f t="shared" si="9"/>
        <v>#DIV/0!</v>
      </c>
      <c r="H80" s="37">
        <f>B80-D80</f>
        <v>0</v>
      </c>
      <c r="I80" s="37">
        <f t="shared" si="10"/>
        <v>0</v>
      </c>
      <c r="J80" s="158"/>
      <c r="K80" s="156"/>
    </row>
    <row r="81" spans="1:11" s="8" customFormat="1" ht="32.25" hidden="1">
      <c r="A81" s="9" t="s">
        <v>53</v>
      </c>
      <c r="B81" s="55"/>
      <c r="C81" s="36"/>
      <c r="D81" s="37"/>
      <c r="E81" s="71"/>
      <c r="F81" s="1" t="e">
        <f>D81/B81*100</f>
        <v>#DIV/0!</v>
      </c>
      <c r="G81" s="1" t="e">
        <f t="shared" si="9"/>
        <v>#DIV/0!</v>
      </c>
      <c r="H81" s="37">
        <f>B81-D81</f>
        <v>0</v>
      </c>
      <c r="I81" s="37">
        <f t="shared" si="10"/>
        <v>0</v>
      </c>
      <c r="J81" s="158"/>
      <c r="K81" s="156"/>
    </row>
    <row r="82" spans="1:11" s="8" customFormat="1" ht="16.5" customHeight="1" hidden="1">
      <c r="A82" s="9" t="s">
        <v>33</v>
      </c>
      <c r="B82" s="55"/>
      <c r="C82" s="36"/>
      <c r="D82" s="37"/>
      <c r="E82" s="1" t="e">
        <f>D82/D79*100</f>
        <v>#DIV/0!</v>
      </c>
      <c r="F82" s="1"/>
      <c r="G82" s="1" t="e">
        <f t="shared" si="9"/>
        <v>#DIV/0!</v>
      </c>
      <c r="H82" s="37"/>
      <c r="I82" s="37">
        <f t="shared" si="10"/>
        <v>0</v>
      </c>
      <c r="J82" s="158"/>
      <c r="K82" s="156"/>
    </row>
    <row r="83" spans="1:11" s="8" customFormat="1" ht="33" customHeight="1" hidden="1" thickBot="1">
      <c r="A83" s="9" t="s">
        <v>39</v>
      </c>
      <c r="B83" s="55"/>
      <c r="C83" s="36"/>
      <c r="D83" s="36"/>
      <c r="E83" s="1" t="e">
        <f>D83/D79*100</f>
        <v>#DIV/0!</v>
      </c>
      <c r="F83" s="1"/>
      <c r="G83" s="1" t="e">
        <f t="shared" si="9"/>
        <v>#DIV/0!</v>
      </c>
      <c r="H83" s="37"/>
      <c r="I83" s="37">
        <f t="shared" si="10"/>
        <v>0</v>
      </c>
      <c r="J83" s="158"/>
      <c r="K83" s="156"/>
    </row>
    <row r="84" spans="1:11" ht="35.25" customHeight="1" hidden="1" thickBot="1">
      <c r="A84" s="12" t="s">
        <v>35</v>
      </c>
      <c r="B84" s="45"/>
      <c r="C84" s="39"/>
      <c r="D84" s="39"/>
      <c r="E84" s="3">
        <f>D84/D153*100</f>
        <v>0</v>
      </c>
      <c r="F84" s="3"/>
      <c r="G84" s="3" t="e">
        <f t="shared" si="9"/>
        <v>#DIV/0!</v>
      </c>
      <c r="H84" s="40"/>
      <c r="I84" s="40">
        <f t="shared" si="10"/>
        <v>0</v>
      </c>
      <c r="J84" s="93"/>
      <c r="K84" s="156"/>
    </row>
    <row r="85" spans="1:11" ht="16.5" customHeight="1" hidden="1">
      <c r="A85" s="21" t="s">
        <v>23</v>
      </c>
      <c r="B85" s="35"/>
      <c r="C85" s="51"/>
      <c r="D85" s="51"/>
      <c r="E85" s="6" t="e">
        <f>D85/D84*100</f>
        <v>#DIV/0!</v>
      </c>
      <c r="F85" s="6"/>
      <c r="G85" s="6" t="e">
        <f t="shared" si="9"/>
        <v>#DIV/0!</v>
      </c>
      <c r="H85" s="52"/>
      <c r="I85" s="37">
        <f t="shared" si="10"/>
        <v>0</v>
      </c>
      <c r="J85" s="93"/>
      <c r="K85" s="156"/>
    </row>
    <row r="86" spans="1:11" ht="16.5" customHeight="1" hidden="1" thickBot="1">
      <c r="A86" s="21" t="s">
        <v>24</v>
      </c>
      <c r="B86" s="35"/>
      <c r="C86" s="51"/>
      <c r="D86" s="51"/>
      <c r="E86" s="6" t="e">
        <f>D86/D84*100</f>
        <v>#DIV/0!</v>
      </c>
      <c r="F86" s="6"/>
      <c r="G86" s="6" t="e">
        <f t="shared" si="9"/>
        <v>#DIV/0!</v>
      </c>
      <c r="H86" s="52"/>
      <c r="I86" s="37">
        <f t="shared" si="10"/>
        <v>0</v>
      </c>
      <c r="J86" s="93"/>
      <c r="K86" s="156"/>
    </row>
    <row r="87" spans="1:11" ht="34.5" customHeight="1" hidden="1" thickBot="1">
      <c r="A87" s="12" t="s">
        <v>36</v>
      </c>
      <c r="B87" s="45"/>
      <c r="C87" s="39"/>
      <c r="D87" s="39"/>
      <c r="E87" s="3">
        <f>D87/D153*100</f>
        <v>0</v>
      </c>
      <c r="F87" s="3"/>
      <c r="G87" s="3" t="e">
        <f t="shared" si="9"/>
        <v>#DIV/0!</v>
      </c>
      <c r="H87" s="40"/>
      <c r="I87" s="40">
        <f t="shared" si="10"/>
        <v>0</v>
      </c>
      <c r="J87" s="93"/>
      <c r="K87" s="156"/>
    </row>
    <row r="88" spans="1:11" ht="17.25" customHeight="1" hidden="1">
      <c r="A88" s="21" t="s">
        <v>23</v>
      </c>
      <c r="B88" s="35"/>
      <c r="C88" s="36"/>
      <c r="D88" s="37"/>
      <c r="E88" s="1" t="e">
        <f>D88/D87*100</f>
        <v>#DIV/0!</v>
      </c>
      <c r="F88" s="1"/>
      <c r="G88" s="1" t="e">
        <f t="shared" si="9"/>
        <v>#DIV/0!</v>
      </c>
      <c r="H88" s="37"/>
      <c r="I88" s="37">
        <f t="shared" si="10"/>
        <v>0</v>
      </c>
      <c r="J88" s="93"/>
      <c r="K88" s="156"/>
    </row>
    <row r="89" spans="1:11" ht="17.25" customHeight="1" hidden="1" thickBot="1">
      <c r="A89" s="21" t="s">
        <v>24</v>
      </c>
      <c r="B89" s="35"/>
      <c r="C89" s="36"/>
      <c r="D89" s="37"/>
      <c r="E89" s="1" t="e">
        <f>D89/D87*100</f>
        <v>#DIV/0!</v>
      </c>
      <c r="F89" s="1"/>
      <c r="G89" s="1" t="e">
        <f t="shared" si="9"/>
        <v>#DIV/0!</v>
      </c>
      <c r="H89" s="37"/>
      <c r="I89" s="37">
        <f t="shared" si="10"/>
        <v>0</v>
      </c>
      <c r="J89" s="93"/>
      <c r="K89" s="156"/>
    </row>
    <row r="90" spans="1:11" ht="18.75" thickBot="1">
      <c r="A90" s="12" t="s">
        <v>10</v>
      </c>
      <c r="B90" s="45">
        <v>69140</v>
      </c>
      <c r="C90" s="39">
        <f>200580.6+2044.4</f>
        <v>202625</v>
      </c>
      <c r="D90" s="40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</f>
        <v>51950.40000000001</v>
      </c>
      <c r="E90" s="3">
        <f>D90/D153*100</f>
        <v>10.899720407014879</v>
      </c>
      <c r="F90" s="3">
        <f aca="true" t="shared" si="11" ref="F90:F96">D90/B90*100</f>
        <v>75.137980908302</v>
      </c>
      <c r="G90" s="3">
        <f t="shared" si="9"/>
        <v>25.638692165330045</v>
      </c>
      <c r="H90" s="40">
        <f aca="true" t="shared" si="12" ref="H90:H96">B90-D90</f>
        <v>17189.59999999999</v>
      </c>
      <c r="I90" s="40">
        <f t="shared" si="10"/>
        <v>150674.59999999998</v>
      </c>
      <c r="J90" s="93"/>
      <c r="K90" s="156"/>
    </row>
    <row r="91" spans="1:11" s="93" customFormat="1" ht="18">
      <c r="A91" s="103" t="s">
        <v>3</v>
      </c>
      <c r="B91" s="128">
        <v>65125.6</v>
      </c>
      <c r="C91" s="129">
        <f>190000-46.7</f>
        <v>189953.3</v>
      </c>
      <c r="D91" s="105">
        <f>3071.3+1190.01+77.9+810.1+1179.1+5434.9+841.3+37+143.9+8.8+37.8+16.1+28.3+518.4+4342.6+40+45.8+973+734.6+5248.7+3382.5+52.7+9.8+18.7+6.1+92.1+475.7+4462.8+595+196.7+276.8+1621.4+7206.7+948.5+36+155.6+316.6+2911.1+2188.5+59.6</f>
        <v>49792.50999999999</v>
      </c>
      <c r="E91" s="107">
        <f>D91/D90*100</f>
        <v>95.84624949952259</v>
      </c>
      <c r="F91" s="107">
        <f t="shared" si="11"/>
        <v>76.45612478042428</v>
      </c>
      <c r="G91" s="107">
        <f t="shared" si="9"/>
        <v>26.21302709666007</v>
      </c>
      <c r="H91" s="105">
        <f t="shared" si="12"/>
        <v>15333.090000000011</v>
      </c>
      <c r="I91" s="105">
        <f t="shared" si="10"/>
        <v>140160.79</v>
      </c>
      <c r="K91" s="156"/>
    </row>
    <row r="92" spans="1:11" s="93" customFormat="1" ht="18">
      <c r="A92" s="103" t="s">
        <v>25</v>
      </c>
      <c r="B92" s="128">
        <v>1338.1</v>
      </c>
      <c r="C92" s="129">
        <v>2776.4</v>
      </c>
      <c r="D92" s="105">
        <f>57.2+3.4+167+1.4+0.3+83.4+86.9+53.1+5.3+4.7+17+71.3+284.2+22.2+4.8</f>
        <v>862.2</v>
      </c>
      <c r="E92" s="107">
        <f>D92/D90*100</f>
        <v>1.6596599833687515</v>
      </c>
      <c r="F92" s="107">
        <f t="shared" si="11"/>
        <v>64.43464614004934</v>
      </c>
      <c r="G92" s="107">
        <f t="shared" si="9"/>
        <v>31.054603083129233</v>
      </c>
      <c r="H92" s="105">
        <f t="shared" si="12"/>
        <v>475.89999999999986</v>
      </c>
      <c r="I92" s="105">
        <f t="shared" si="10"/>
        <v>1914.2</v>
      </c>
      <c r="K92" s="156"/>
    </row>
    <row r="93" spans="1:11" s="93" customFormat="1" ht="18" hidden="1">
      <c r="A93" s="103" t="s">
        <v>14</v>
      </c>
      <c r="B93" s="128"/>
      <c r="C93" s="129"/>
      <c r="D93" s="129"/>
      <c r="E93" s="130">
        <f>D93/D90*100</f>
        <v>0</v>
      </c>
      <c r="F93" s="107"/>
      <c r="G93" s="107" t="e">
        <f t="shared" si="9"/>
        <v>#DIV/0!</v>
      </c>
      <c r="H93" s="105">
        <f t="shared" si="12"/>
        <v>0</v>
      </c>
      <c r="I93" s="105">
        <f t="shared" si="10"/>
        <v>0</v>
      </c>
      <c r="K93" s="156">
        <f aca="true" t="shared" si="13" ref="K93:K101">C93-B93</f>
        <v>0</v>
      </c>
    </row>
    <row r="94" spans="1:11" s="93" customFormat="1" ht="18.75" thickBot="1">
      <c r="A94" s="103" t="s">
        <v>27</v>
      </c>
      <c r="B94" s="129">
        <f>B90-B91-B92-B93</f>
        <v>2676.3000000000015</v>
      </c>
      <c r="C94" s="129">
        <f>C90-C91-C92-C93</f>
        <v>9895.300000000012</v>
      </c>
      <c r="D94" s="129">
        <f>D90-D91-D92-D93</f>
        <v>1295.6900000000212</v>
      </c>
      <c r="E94" s="107">
        <f>D94/D90*100</f>
        <v>2.4940905171086674</v>
      </c>
      <c r="F94" s="107">
        <f t="shared" si="11"/>
        <v>48.41348129880882</v>
      </c>
      <c r="G94" s="107">
        <f>D94/C94*100</f>
        <v>13.093994118420055</v>
      </c>
      <c r="H94" s="105">
        <f t="shared" si="12"/>
        <v>1380.6099999999803</v>
      </c>
      <c r="I94" s="105">
        <f>C94-D94</f>
        <v>8599.609999999991</v>
      </c>
      <c r="K94" s="156"/>
    </row>
    <row r="95" spans="1:11" ht="18">
      <c r="A95" s="82" t="s">
        <v>12</v>
      </c>
      <c r="B95" s="91">
        <f>16905-346.5-1000</f>
        <v>15558.5</v>
      </c>
      <c r="C95" s="85">
        <f>46414.5+100+39.4+1153.5</f>
        <v>47707.4</v>
      </c>
      <c r="D95" s="84">
        <f>627.6+194.6+194.6+1234+510.7+28.2+0.5+182.1+337.6+34.8+102.9+588.2+1248.7+97.9+0.7+344.5+13.1+160.3+129.6+35.4+41.5+435.1+0.1+121.2+1271.9+622+440.2+48.6</f>
        <v>9046.600000000002</v>
      </c>
      <c r="E95" s="81">
        <f>D95/D153*100</f>
        <v>1.8980683620164776</v>
      </c>
      <c r="F95" s="83">
        <f t="shared" si="11"/>
        <v>58.14570813381754</v>
      </c>
      <c r="G95" s="80">
        <f>D95/C95*100</f>
        <v>18.96267664974407</v>
      </c>
      <c r="H95" s="84">
        <f t="shared" si="12"/>
        <v>6511.899999999998</v>
      </c>
      <c r="I95" s="87">
        <f>C95-D95</f>
        <v>38660.8</v>
      </c>
      <c r="J95" s="93"/>
      <c r="K95" s="156"/>
    </row>
    <row r="96" spans="1:11" s="93" customFormat="1" ht="18.75" thickBot="1">
      <c r="A96" s="131" t="s">
        <v>83</v>
      </c>
      <c r="B96" s="132">
        <v>4774.8</v>
      </c>
      <c r="C96" s="133">
        <v>12814.2</v>
      </c>
      <c r="D96" s="134">
        <f>194.6+1234+3.4+0.5+79.6+1026.4+0.7+86.4+939.3+4.2</f>
        <v>3569.0999999999995</v>
      </c>
      <c r="E96" s="135">
        <f>D96/D95*100</f>
        <v>39.452390953507376</v>
      </c>
      <c r="F96" s="136">
        <f t="shared" si="11"/>
        <v>74.74868057300827</v>
      </c>
      <c r="G96" s="137">
        <f>D96/C96*100</f>
        <v>27.852694666853957</v>
      </c>
      <c r="H96" s="138">
        <f t="shared" si="12"/>
        <v>1205.7000000000007</v>
      </c>
      <c r="I96" s="127">
        <f>C96-D96</f>
        <v>9245.100000000002</v>
      </c>
      <c r="K96" s="156"/>
    </row>
    <row r="97" spans="1:11" ht="8.25" customHeight="1" thickBot="1">
      <c r="A97" s="16"/>
      <c r="B97" s="43"/>
      <c r="C97" s="51"/>
      <c r="D97" s="52"/>
      <c r="E97" s="6"/>
      <c r="F97" s="6"/>
      <c r="G97" s="6"/>
      <c r="H97" s="52"/>
      <c r="I97" s="52"/>
      <c r="J97" s="93"/>
      <c r="K97" s="156"/>
    </row>
    <row r="98" spans="1:11" ht="18.75" hidden="1" thickBot="1">
      <c r="A98" s="25" t="s">
        <v>37</v>
      </c>
      <c r="B98" s="59"/>
      <c r="C98" s="60"/>
      <c r="D98" s="61"/>
      <c r="E98" s="3">
        <f>D98/D153*100</f>
        <v>0</v>
      </c>
      <c r="F98" s="3"/>
      <c r="G98" s="3" t="e">
        <f>D98/C98*100</f>
        <v>#DIV/0!</v>
      </c>
      <c r="H98" s="40"/>
      <c r="I98" s="40">
        <f>C98-D98</f>
        <v>0</v>
      </c>
      <c r="J98" s="93"/>
      <c r="K98" s="156">
        <f t="shared" si="13"/>
        <v>0</v>
      </c>
    </row>
    <row r="99" spans="1:11" ht="5.25" customHeight="1" hidden="1" thickBot="1">
      <c r="A99" s="24"/>
      <c r="B99" s="56"/>
      <c r="C99" s="57"/>
      <c r="D99" s="58"/>
      <c r="E99" s="13"/>
      <c r="F99" s="6"/>
      <c r="G99" s="6"/>
      <c r="H99" s="52"/>
      <c r="I99" s="86"/>
      <c r="J99" s="93"/>
      <c r="K99" s="156">
        <f t="shared" si="13"/>
        <v>0</v>
      </c>
    </row>
    <row r="100" spans="1:11" s="14" customFormat="1" ht="36" customHeight="1" hidden="1" thickBot="1">
      <c r="A100" s="12" t="s">
        <v>51</v>
      </c>
      <c r="B100" s="45"/>
      <c r="C100" s="39"/>
      <c r="D100" s="40"/>
      <c r="E100" s="3">
        <f>D100/D153*100</f>
        <v>0</v>
      </c>
      <c r="F100" s="3" t="e">
        <f>D100/B100*100</f>
        <v>#DIV/0!</v>
      </c>
      <c r="G100" s="3" t="e">
        <f>D100/C100*100</f>
        <v>#DIV/0!</v>
      </c>
      <c r="H100" s="40">
        <f>B100-D100</f>
        <v>0</v>
      </c>
      <c r="I100" s="40">
        <f>C100-D100</f>
        <v>0</v>
      </c>
      <c r="J100" s="159"/>
      <c r="K100" s="156">
        <f t="shared" si="13"/>
        <v>0</v>
      </c>
    </row>
    <row r="101" spans="1:11" ht="6.75" customHeight="1" hidden="1" thickBot="1">
      <c r="A101" s="77"/>
      <c r="B101" s="78"/>
      <c r="C101" s="57"/>
      <c r="D101" s="58"/>
      <c r="E101" s="13"/>
      <c r="F101" s="6"/>
      <c r="G101" s="6"/>
      <c r="H101" s="52"/>
      <c r="I101" s="86"/>
      <c r="J101" s="93"/>
      <c r="K101" s="156">
        <f t="shared" si="13"/>
        <v>0</v>
      </c>
    </row>
    <row r="102" spans="1:11" s="32" customFormat="1" ht="18.75" thickBot="1">
      <c r="A102" s="12" t="s">
        <v>11</v>
      </c>
      <c r="B102" s="90">
        <f>4203.6-9.3-7.3</f>
        <v>4187</v>
      </c>
      <c r="C102" s="70">
        <f>11266.5-91.2</f>
        <v>11175.3</v>
      </c>
      <c r="D102" s="65">
        <f>144.5+120.5+0.1+30.9+51.6+143.8+13.5+25.2+149.6+13.2+89.8+139.8+98.3+5.4+242.1+58+93.2+85.3+255.7+143.6+0.2+288+23.7+143.3+300.5+112.9+1.3+105.1</f>
        <v>2879.1000000000004</v>
      </c>
      <c r="E102" s="17">
        <f>D102/D153*100</f>
        <v>0.6040643579998718</v>
      </c>
      <c r="F102" s="17">
        <f>D102/B102*100</f>
        <v>68.76283735371389</v>
      </c>
      <c r="G102" s="17">
        <f aca="true" t="shared" si="14" ref="G102:G151">D102/C102*100</f>
        <v>25.763066763308373</v>
      </c>
      <c r="H102" s="65">
        <f aca="true" t="shared" si="15" ref="H102:H107">B102-D102</f>
        <v>1307.8999999999996</v>
      </c>
      <c r="I102" s="65">
        <f aca="true" t="shared" si="16" ref="I102:I151">C102-D102</f>
        <v>8296.199999999999</v>
      </c>
      <c r="J102" s="94"/>
      <c r="K102" s="156"/>
    </row>
    <row r="103" spans="1:11" s="93" customFormat="1" ht="18.75" customHeight="1">
      <c r="A103" s="103" t="s">
        <v>3</v>
      </c>
      <c r="B103" s="120">
        <v>72.8</v>
      </c>
      <c r="C103" s="121">
        <v>363.8</v>
      </c>
      <c r="D103" s="121"/>
      <c r="E103" s="122">
        <f>D103/D102*100</f>
        <v>0</v>
      </c>
      <c r="F103" s="107">
        <f>D103/B103*100</f>
        <v>0</v>
      </c>
      <c r="G103" s="122">
        <f>D103/C103*100</f>
        <v>0</v>
      </c>
      <c r="H103" s="121">
        <f t="shared" si="15"/>
        <v>72.8</v>
      </c>
      <c r="I103" s="121">
        <f t="shared" si="16"/>
        <v>363.8</v>
      </c>
      <c r="K103" s="156"/>
    </row>
    <row r="104" spans="1:11" s="93" customFormat="1" ht="18">
      <c r="A104" s="123" t="s">
        <v>48</v>
      </c>
      <c r="B104" s="104">
        <f>3583.1-9.3-7.3</f>
        <v>3566.4999999999995</v>
      </c>
      <c r="C104" s="105">
        <f>8949.2-91.2</f>
        <v>8858</v>
      </c>
      <c r="D104" s="105">
        <f>144.4+120.5+0.1+30.9+51.6+143.7+13.5+25.2+149.6+13.2+89.8+139.7+98.3+5.4+242.1+58+85.3+255.7+143.8+288+14+143.1+279.2+72.1+105.1</f>
        <v>2712.2999999999997</v>
      </c>
      <c r="E104" s="107">
        <f>D104/D102*100</f>
        <v>94.20652287173073</v>
      </c>
      <c r="F104" s="107">
        <f aca="true" t="shared" si="17" ref="F104:F151">D104/B104*100</f>
        <v>76.04934810037852</v>
      </c>
      <c r="G104" s="107">
        <f t="shared" si="14"/>
        <v>30.619778731090534</v>
      </c>
      <c r="H104" s="105">
        <f t="shared" si="15"/>
        <v>854.1999999999998</v>
      </c>
      <c r="I104" s="105">
        <f t="shared" si="16"/>
        <v>6145.700000000001</v>
      </c>
      <c r="K104" s="156"/>
    </row>
    <row r="105" spans="1:11" s="93" customFormat="1" ht="55.5" hidden="1" thickBot="1">
      <c r="A105" s="124" t="s">
        <v>79</v>
      </c>
      <c r="B105" s="125"/>
      <c r="C105" s="125"/>
      <c r="D105" s="125"/>
      <c r="E105" s="126">
        <f>D105/D102*100</f>
        <v>0</v>
      </c>
      <c r="F105" s="126" t="e">
        <f>D105/B105*100</f>
        <v>#DIV/0!</v>
      </c>
      <c r="G105" s="126" t="e">
        <f>D105/C105*100</f>
        <v>#DIV/0!</v>
      </c>
      <c r="H105" s="127">
        <f t="shared" si="15"/>
        <v>0</v>
      </c>
      <c r="I105" s="127">
        <f>C105-D105</f>
        <v>0</v>
      </c>
      <c r="K105" s="156"/>
    </row>
    <row r="106" spans="1:11" s="93" customFormat="1" ht="18.75" thickBot="1">
      <c r="A106" s="124" t="s">
        <v>27</v>
      </c>
      <c r="B106" s="125">
        <f>B102-B103-B104</f>
        <v>547.7000000000003</v>
      </c>
      <c r="C106" s="125">
        <f>C102-C103-C104</f>
        <v>1953.5</v>
      </c>
      <c r="D106" s="125">
        <f>D102-D103-D104</f>
        <v>166.80000000000064</v>
      </c>
      <c r="E106" s="126">
        <f>D106/D102*100</f>
        <v>5.793477128269272</v>
      </c>
      <c r="F106" s="126">
        <f t="shared" si="17"/>
        <v>30.454628446229787</v>
      </c>
      <c r="G106" s="126">
        <f t="shared" si="14"/>
        <v>8.538520604044056</v>
      </c>
      <c r="H106" s="127">
        <f>B106-D106</f>
        <v>380.89999999999964</v>
      </c>
      <c r="I106" s="127">
        <f t="shared" si="16"/>
        <v>1786.6999999999994</v>
      </c>
      <c r="K106" s="156"/>
    </row>
    <row r="107" spans="1:12" s="2" customFormat="1" ht="26.25" customHeight="1" thickBot="1">
      <c r="A107" s="66" t="s">
        <v>28</v>
      </c>
      <c r="B107" s="67">
        <f>SUM(B108:B150)-B115-B119+B151-B141-B142-B109-B112-B122-B123-B139-B132-B130-B137</f>
        <v>124727.80000000002</v>
      </c>
      <c r="C107" s="67">
        <f>SUM(C108:C150)-C115-C119+C151-C141-C142-C109-C112-C122-C123-C139-C132-C130-C137</f>
        <v>491868.4</v>
      </c>
      <c r="D107" s="67">
        <f>SUM(D108:D150)-D115-D119+D151-D141-D142-D109-D112-D122-D123-D139-D132-D130-D137</f>
        <v>55577.8</v>
      </c>
      <c r="E107" s="68">
        <f>D107/D153*100</f>
        <v>11.660785688598962</v>
      </c>
      <c r="F107" s="68">
        <f>D107/B107*100</f>
        <v>44.55927227129797</v>
      </c>
      <c r="G107" s="68">
        <f t="shared" si="14"/>
        <v>11.299323152290327</v>
      </c>
      <c r="H107" s="67">
        <f t="shared" si="15"/>
        <v>69150.00000000001</v>
      </c>
      <c r="I107" s="67">
        <f t="shared" si="16"/>
        <v>436290.60000000003</v>
      </c>
      <c r="J107" s="115"/>
      <c r="K107" s="156"/>
      <c r="L107" s="96"/>
    </row>
    <row r="108" spans="1:12" s="93" customFormat="1" ht="36.75">
      <c r="A108" s="97" t="s">
        <v>52</v>
      </c>
      <c r="B108" s="98">
        <v>1658.8</v>
      </c>
      <c r="C108" s="162">
        <v>4459</v>
      </c>
      <c r="D108" s="99">
        <f>17.1+81.1+17.3+60.5+173.3+3.4+2+0.4+29.3+1.7+177.1+0.8+38.8+139.8+0.3+1.9+1.8+6.5+136+91.3+0.1+1.8+1.1+2.4</f>
        <v>985.7999999999997</v>
      </c>
      <c r="E108" s="100">
        <f>D108/D107*100</f>
        <v>1.7737297985886444</v>
      </c>
      <c r="F108" s="100">
        <f t="shared" si="17"/>
        <v>59.42850253195079</v>
      </c>
      <c r="G108" s="100">
        <f t="shared" si="14"/>
        <v>22.108095985647</v>
      </c>
      <c r="H108" s="101">
        <f>B108-D108</f>
        <v>673.0000000000002</v>
      </c>
      <c r="I108" s="101">
        <f t="shared" si="16"/>
        <v>3473.2000000000003</v>
      </c>
      <c r="K108" s="156"/>
      <c r="L108" s="102"/>
    </row>
    <row r="109" spans="1:12" s="93" customFormat="1" ht="18">
      <c r="A109" s="103" t="s">
        <v>25</v>
      </c>
      <c r="B109" s="104">
        <v>832.1</v>
      </c>
      <c r="C109" s="105">
        <v>1995</v>
      </c>
      <c r="D109" s="106">
        <f>47.8+0.9+59.7+88.3+0.1+59.2+38.8+107.4+24+91.1</f>
        <v>517.3000000000001</v>
      </c>
      <c r="E109" s="107">
        <f>D109/D108*100</f>
        <v>52.47514708865898</v>
      </c>
      <c r="F109" s="107">
        <f t="shared" si="17"/>
        <v>62.168008652806165</v>
      </c>
      <c r="G109" s="107">
        <f t="shared" si="14"/>
        <v>25.929824561403514</v>
      </c>
      <c r="H109" s="105">
        <f aca="true" t="shared" si="18" ref="H109:H151">B109-D109</f>
        <v>314.79999999999995</v>
      </c>
      <c r="I109" s="105">
        <f t="shared" si="16"/>
        <v>1477.6999999999998</v>
      </c>
      <c r="K109" s="156"/>
      <c r="L109" s="102"/>
    </row>
    <row r="110" spans="1:12" s="93" customFormat="1" ht="34.5" customHeight="1" hidden="1">
      <c r="A110" s="108" t="s">
        <v>78</v>
      </c>
      <c r="B110" s="109"/>
      <c r="C110" s="101"/>
      <c r="D110" s="99"/>
      <c r="E110" s="100">
        <f>D110/D107*100</f>
        <v>0</v>
      </c>
      <c r="F110" s="100" t="e">
        <f>D110/B110*100</f>
        <v>#DIV/0!</v>
      </c>
      <c r="G110" s="100" t="e">
        <f t="shared" si="14"/>
        <v>#DIV/0!</v>
      </c>
      <c r="H110" s="101">
        <f t="shared" si="18"/>
        <v>0</v>
      </c>
      <c r="I110" s="101">
        <f t="shared" si="16"/>
        <v>0</v>
      </c>
      <c r="K110" s="156"/>
      <c r="L110" s="102"/>
    </row>
    <row r="111" spans="1:12" s="94" customFormat="1" ht="34.5" customHeight="1">
      <c r="A111" s="108" t="s">
        <v>93</v>
      </c>
      <c r="B111" s="109">
        <v>69.7</v>
      </c>
      <c r="C111" s="110">
        <v>200</v>
      </c>
      <c r="D111" s="111"/>
      <c r="E111" s="100">
        <f>D111/D107*100</f>
        <v>0</v>
      </c>
      <c r="F111" s="112">
        <f t="shared" si="17"/>
        <v>0</v>
      </c>
      <c r="G111" s="100">
        <f t="shared" si="14"/>
        <v>0</v>
      </c>
      <c r="H111" s="101">
        <f t="shared" si="18"/>
        <v>69.7</v>
      </c>
      <c r="I111" s="101">
        <f t="shared" si="16"/>
        <v>200</v>
      </c>
      <c r="K111" s="156"/>
      <c r="L111" s="102"/>
    </row>
    <row r="112" spans="1:12" s="93" customFormat="1" ht="18" hidden="1">
      <c r="A112" s="103" t="s">
        <v>25</v>
      </c>
      <c r="B112" s="104"/>
      <c r="C112" s="105"/>
      <c r="D112" s="106"/>
      <c r="E112" s="107"/>
      <c r="F112" s="107" t="e">
        <f t="shared" si="17"/>
        <v>#DIV/0!</v>
      </c>
      <c r="G112" s="107" t="e">
        <f t="shared" si="14"/>
        <v>#DIV/0!</v>
      </c>
      <c r="H112" s="105">
        <f t="shared" si="18"/>
        <v>0</v>
      </c>
      <c r="I112" s="105">
        <f t="shared" si="16"/>
        <v>0</v>
      </c>
      <c r="K112" s="156"/>
      <c r="L112" s="102"/>
    </row>
    <row r="113" spans="1:12" s="93" customFormat="1" ht="18">
      <c r="A113" s="108" t="s">
        <v>89</v>
      </c>
      <c r="B113" s="109">
        <v>25</v>
      </c>
      <c r="C113" s="101">
        <v>64.3</v>
      </c>
      <c r="D113" s="99"/>
      <c r="E113" s="100">
        <f>D113/D107*100</f>
        <v>0</v>
      </c>
      <c r="F113" s="100">
        <f t="shared" si="17"/>
        <v>0</v>
      </c>
      <c r="G113" s="100">
        <f t="shared" si="14"/>
        <v>0</v>
      </c>
      <c r="H113" s="101">
        <f t="shared" si="18"/>
        <v>25</v>
      </c>
      <c r="I113" s="101">
        <f t="shared" si="16"/>
        <v>64.3</v>
      </c>
      <c r="K113" s="156"/>
      <c r="L113" s="102"/>
    </row>
    <row r="114" spans="1:12" s="93" customFormat="1" ht="36.75">
      <c r="A114" s="108" t="s">
        <v>38</v>
      </c>
      <c r="B114" s="109">
        <v>1123.6</v>
      </c>
      <c r="C114" s="101">
        <v>3311.5</v>
      </c>
      <c r="D114" s="99">
        <f>136.4+10+40+6.6+6.1+0.2+177.4+10+1.8+25.1+29.4+48.1+8.1+193.1+10+0.1+17.8</f>
        <v>720.2</v>
      </c>
      <c r="E114" s="100">
        <f>D114/D107*100</f>
        <v>1.29584114520546</v>
      </c>
      <c r="F114" s="100">
        <f t="shared" si="17"/>
        <v>64.09754360982556</v>
      </c>
      <c r="G114" s="100">
        <f t="shared" si="14"/>
        <v>21.748452362977506</v>
      </c>
      <c r="H114" s="101">
        <f t="shared" si="18"/>
        <v>403.39999999999986</v>
      </c>
      <c r="I114" s="101">
        <f t="shared" si="16"/>
        <v>2591.3</v>
      </c>
      <c r="K114" s="156"/>
      <c r="L114" s="102"/>
    </row>
    <row r="115" spans="1:12" s="93" customFormat="1" ht="18" hidden="1">
      <c r="A115" s="113" t="s">
        <v>43</v>
      </c>
      <c r="B115" s="104"/>
      <c r="C115" s="105"/>
      <c r="D115" s="106"/>
      <c r="E115" s="100"/>
      <c r="F115" s="100" t="e">
        <f t="shared" si="17"/>
        <v>#DIV/0!</v>
      </c>
      <c r="G115" s="107" t="e">
        <f t="shared" si="14"/>
        <v>#DIV/0!</v>
      </c>
      <c r="H115" s="105">
        <f t="shared" si="18"/>
        <v>0</v>
      </c>
      <c r="I115" s="105">
        <f t="shared" si="16"/>
        <v>0</v>
      </c>
      <c r="K115" s="156"/>
      <c r="L115" s="102"/>
    </row>
    <row r="116" spans="1:12" s="94" customFormat="1" ht="18.75" customHeight="1" hidden="1">
      <c r="A116" s="108" t="s">
        <v>90</v>
      </c>
      <c r="B116" s="109"/>
      <c r="C116" s="110"/>
      <c r="D116" s="111"/>
      <c r="E116" s="114">
        <f>D116/D107*100</f>
        <v>0</v>
      </c>
      <c r="F116" s="100" t="e">
        <f t="shared" si="17"/>
        <v>#DIV/0!</v>
      </c>
      <c r="G116" s="114" t="e">
        <f t="shared" si="14"/>
        <v>#DIV/0!</v>
      </c>
      <c r="H116" s="110">
        <f t="shared" si="18"/>
        <v>0</v>
      </c>
      <c r="I116" s="110">
        <f t="shared" si="16"/>
        <v>0</v>
      </c>
      <c r="K116" s="156"/>
      <c r="L116" s="102"/>
    </row>
    <row r="117" spans="1:12" s="93" customFormat="1" ht="36.75">
      <c r="A117" s="108" t="s">
        <v>47</v>
      </c>
      <c r="B117" s="109">
        <v>145</v>
      </c>
      <c r="C117" s="101">
        <v>200</v>
      </c>
      <c r="D117" s="99"/>
      <c r="E117" s="100">
        <f>D117/D107*100</f>
        <v>0</v>
      </c>
      <c r="F117" s="100">
        <f>D117/B117*100</f>
        <v>0</v>
      </c>
      <c r="G117" s="100">
        <f t="shared" si="14"/>
        <v>0</v>
      </c>
      <c r="H117" s="101">
        <f t="shared" si="18"/>
        <v>145</v>
      </c>
      <c r="I117" s="101">
        <f t="shared" si="16"/>
        <v>200</v>
      </c>
      <c r="K117" s="156"/>
      <c r="L117" s="102"/>
    </row>
    <row r="118" spans="1:12" s="115" customFormat="1" ht="18">
      <c r="A118" s="108" t="s">
        <v>15</v>
      </c>
      <c r="B118" s="109">
        <v>208.7</v>
      </c>
      <c r="C118" s="110">
        <v>491.6</v>
      </c>
      <c r="D118" s="99">
        <f>45.4+9.9+47+6.4+0.4+0.4+45.4</f>
        <v>154.9</v>
      </c>
      <c r="E118" s="100">
        <f>D118/D107*100</f>
        <v>0.2787084051545761</v>
      </c>
      <c r="F118" s="100">
        <f t="shared" si="17"/>
        <v>74.22137038811692</v>
      </c>
      <c r="G118" s="100">
        <f t="shared" si="14"/>
        <v>31.5093572009764</v>
      </c>
      <c r="H118" s="101">
        <f t="shared" si="18"/>
        <v>53.79999999999998</v>
      </c>
      <c r="I118" s="101">
        <f t="shared" si="16"/>
        <v>336.70000000000005</v>
      </c>
      <c r="K118" s="156"/>
      <c r="L118" s="102"/>
    </row>
    <row r="119" spans="1:12" s="116" customFormat="1" ht="18">
      <c r="A119" s="113" t="s">
        <v>43</v>
      </c>
      <c r="B119" s="104">
        <v>181.7</v>
      </c>
      <c r="C119" s="105">
        <v>408.8</v>
      </c>
      <c r="D119" s="106">
        <f>45.4+45.4+45.4</f>
        <v>136.2</v>
      </c>
      <c r="E119" s="107">
        <f>D119/D118*100</f>
        <v>87.9276952872821</v>
      </c>
      <c r="F119" s="107">
        <f t="shared" si="17"/>
        <v>74.95872317006054</v>
      </c>
      <c r="G119" s="107">
        <f t="shared" si="14"/>
        <v>33.31702544031311</v>
      </c>
      <c r="H119" s="105">
        <f t="shared" si="18"/>
        <v>45.5</v>
      </c>
      <c r="I119" s="105">
        <f t="shared" si="16"/>
        <v>272.6</v>
      </c>
      <c r="K119" s="156"/>
      <c r="L119" s="102"/>
    </row>
    <row r="120" spans="1:12" s="115" customFormat="1" ht="18">
      <c r="A120" s="108" t="s">
        <v>105</v>
      </c>
      <c r="B120" s="109">
        <v>50</v>
      </c>
      <c r="C120" s="110">
        <v>317</v>
      </c>
      <c r="D120" s="99"/>
      <c r="E120" s="100">
        <f>D120/D107*100</f>
        <v>0</v>
      </c>
      <c r="F120" s="100">
        <f t="shared" si="17"/>
        <v>0</v>
      </c>
      <c r="G120" s="100">
        <f t="shared" si="14"/>
        <v>0</v>
      </c>
      <c r="H120" s="101">
        <f t="shared" si="18"/>
        <v>50</v>
      </c>
      <c r="I120" s="101">
        <f t="shared" si="16"/>
        <v>317</v>
      </c>
      <c r="K120" s="156"/>
      <c r="L120" s="102"/>
    </row>
    <row r="121" spans="1:12" s="115" customFormat="1" ht="21.75" customHeight="1">
      <c r="A121" s="108" t="s">
        <v>94</v>
      </c>
      <c r="B121" s="109">
        <v>460</v>
      </c>
      <c r="C121" s="110">
        <f>480+80</f>
        <v>560</v>
      </c>
      <c r="D121" s="111">
        <f>12</f>
        <v>12</v>
      </c>
      <c r="E121" s="114">
        <f>D121/D107*100</f>
        <v>0.02159135482152946</v>
      </c>
      <c r="F121" s="100">
        <f t="shared" si="17"/>
        <v>2.608695652173913</v>
      </c>
      <c r="G121" s="100">
        <f t="shared" si="14"/>
        <v>2.142857142857143</v>
      </c>
      <c r="H121" s="101">
        <f t="shared" si="18"/>
        <v>448</v>
      </c>
      <c r="I121" s="101">
        <f t="shared" si="16"/>
        <v>548</v>
      </c>
      <c r="K121" s="156"/>
      <c r="L121" s="102"/>
    </row>
    <row r="122" spans="1:12" s="118" customFormat="1" ht="18" hidden="1">
      <c r="A122" s="103" t="s">
        <v>80</v>
      </c>
      <c r="B122" s="104"/>
      <c r="C122" s="105"/>
      <c r="D122" s="106"/>
      <c r="E122" s="100"/>
      <c r="F122" s="117" t="e">
        <f>D122/B122*100</f>
        <v>#DIV/0!</v>
      </c>
      <c r="G122" s="107" t="e">
        <f t="shared" si="14"/>
        <v>#DIV/0!</v>
      </c>
      <c r="H122" s="105">
        <f t="shared" si="18"/>
        <v>0</v>
      </c>
      <c r="I122" s="105">
        <f t="shared" si="16"/>
        <v>0</v>
      </c>
      <c r="K122" s="156"/>
      <c r="L122" s="102"/>
    </row>
    <row r="123" spans="1:12" s="118" customFormat="1" ht="18" hidden="1">
      <c r="A123" s="103" t="s">
        <v>49</v>
      </c>
      <c r="B123" s="104"/>
      <c r="C123" s="105"/>
      <c r="D123" s="106"/>
      <c r="E123" s="100"/>
      <c r="F123" s="107" t="e">
        <f>D123/B123*100</f>
        <v>#DIV/0!</v>
      </c>
      <c r="G123" s="107" t="e">
        <f t="shared" si="14"/>
        <v>#DIV/0!</v>
      </c>
      <c r="H123" s="105">
        <f t="shared" si="18"/>
        <v>0</v>
      </c>
      <c r="I123" s="105">
        <f t="shared" si="16"/>
        <v>0</v>
      </c>
      <c r="K123" s="156"/>
      <c r="L123" s="102"/>
    </row>
    <row r="124" spans="1:12" s="115" customFormat="1" ht="36.75">
      <c r="A124" s="108" t="s">
        <v>95</v>
      </c>
      <c r="B124" s="109">
        <f>15009.1+1622.3</f>
        <v>16631.4</v>
      </c>
      <c r="C124" s="110">
        <v>45511.3</v>
      </c>
      <c r="D124" s="111">
        <f>3529.6+2264.3+1265.3+2996.5+533.1+738.7+2380.2+1722.3</f>
        <v>15430</v>
      </c>
      <c r="E124" s="114">
        <f>D124/D107*100</f>
        <v>27.762883741349963</v>
      </c>
      <c r="F124" s="100">
        <f t="shared" si="17"/>
        <v>92.77631468186682</v>
      </c>
      <c r="G124" s="100">
        <f t="shared" si="14"/>
        <v>33.90366788028468</v>
      </c>
      <c r="H124" s="101">
        <f t="shared" si="18"/>
        <v>1201.4000000000015</v>
      </c>
      <c r="I124" s="101">
        <f t="shared" si="16"/>
        <v>30081.300000000003</v>
      </c>
      <c r="K124" s="156"/>
      <c r="L124" s="102"/>
    </row>
    <row r="125" spans="1:12" s="115" customFormat="1" ht="18">
      <c r="A125" s="108" t="s">
        <v>91</v>
      </c>
      <c r="B125" s="109">
        <v>79.4</v>
      </c>
      <c r="C125" s="110">
        <v>700</v>
      </c>
      <c r="D125" s="111"/>
      <c r="E125" s="114">
        <f>D125/D107*100</f>
        <v>0</v>
      </c>
      <c r="F125" s="100">
        <f t="shared" si="17"/>
        <v>0</v>
      </c>
      <c r="G125" s="100">
        <f t="shared" si="14"/>
        <v>0</v>
      </c>
      <c r="H125" s="101">
        <f t="shared" si="18"/>
        <v>79.4</v>
      </c>
      <c r="I125" s="101">
        <f t="shared" si="16"/>
        <v>700</v>
      </c>
      <c r="K125" s="156"/>
      <c r="L125" s="102"/>
    </row>
    <row r="126" spans="1:12" s="115" customFormat="1" ht="36.75">
      <c r="A126" s="108" t="s">
        <v>100</v>
      </c>
      <c r="B126" s="109">
        <v>160</v>
      </c>
      <c r="C126" s="110">
        <v>200</v>
      </c>
      <c r="D126" s="111"/>
      <c r="E126" s="114">
        <f>D126/D107*100</f>
        <v>0</v>
      </c>
      <c r="F126" s="100">
        <f t="shared" si="17"/>
        <v>0</v>
      </c>
      <c r="G126" s="100">
        <f t="shared" si="14"/>
        <v>0</v>
      </c>
      <c r="H126" s="101">
        <f t="shared" si="18"/>
        <v>160</v>
      </c>
      <c r="I126" s="101">
        <f t="shared" si="16"/>
        <v>200</v>
      </c>
      <c r="K126" s="156"/>
      <c r="L126" s="102"/>
    </row>
    <row r="127" spans="1:12" s="115" customFormat="1" ht="36.75">
      <c r="A127" s="108" t="s">
        <v>85</v>
      </c>
      <c r="B127" s="109">
        <v>74</v>
      </c>
      <c r="C127" s="110">
        <f>111.1</f>
        <v>111.1</v>
      </c>
      <c r="D127" s="111"/>
      <c r="E127" s="114">
        <f>D127/D107*100</f>
        <v>0</v>
      </c>
      <c r="F127" s="100">
        <f t="shared" si="17"/>
        <v>0</v>
      </c>
      <c r="G127" s="100">
        <f t="shared" si="14"/>
        <v>0</v>
      </c>
      <c r="H127" s="101">
        <f t="shared" si="18"/>
        <v>74</v>
      </c>
      <c r="I127" s="101">
        <f t="shared" si="16"/>
        <v>111.1</v>
      </c>
      <c r="K127" s="156"/>
      <c r="L127" s="102"/>
    </row>
    <row r="128" spans="1:12" s="115" customFormat="1" ht="18" hidden="1">
      <c r="A128" s="113" t="s">
        <v>83</v>
      </c>
      <c r="B128" s="109"/>
      <c r="C128" s="110"/>
      <c r="D128" s="111"/>
      <c r="E128" s="114">
        <f>D128/D108*100</f>
        <v>0</v>
      </c>
      <c r="F128" s="100" t="e">
        <f t="shared" si="17"/>
        <v>#DIV/0!</v>
      </c>
      <c r="G128" s="100" t="e">
        <f t="shared" si="14"/>
        <v>#DIV/0!</v>
      </c>
      <c r="H128" s="101">
        <f t="shared" si="18"/>
        <v>0</v>
      </c>
      <c r="I128" s="101">
        <f t="shared" si="16"/>
        <v>0</v>
      </c>
      <c r="K128" s="156"/>
      <c r="L128" s="102"/>
    </row>
    <row r="129" spans="1:12" s="115" customFormat="1" ht="36.75">
      <c r="A129" s="108" t="s">
        <v>57</v>
      </c>
      <c r="B129" s="109">
        <v>218.8</v>
      </c>
      <c r="C129" s="110">
        <v>942</v>
      </c>
      <c r="D129" s="111">
        <f>7+4.2+0.1+12.3+0.2+7.1+17.8+14.9+1.7+0.1+7.4+7+2.7</f>
        <v>82.5</v>
      </c>
      <c r="E129" s="114">
        <f>D129/D107*100</f>
        <v>0.14844056439801503</v>
      </c>
      <c r="F129" s="100">
        <f t="shared" si="17"/>
        <v>37.70566727605119</v>
      </c>
      <c r="G129" s="100">
        <f t="shared" si="14"/>
        <v>8.75796178343949</v>
      </c>
      <c r="H129" s="101">
        <f t="shared" si="18"/>
        <v>136.3</v>
      </c>
      <c r="I129" s="101">
        <f t="shared" si="16"/>
        <v>859.5</v>
      </c>
      <c r="K129" s="156"/>
      <c r="L129" s="102"/>
    </row>
    <row r="130" spans="1:12" s="116" customFormat="1" ht="18">
      <c r="A130" s="103" t="s">
        <v>88</v>
      </c>
      <c r="B130" s="104">
        <v>42.4</v>
      </c>
      <c r="C130" s="105">
        <v>510.8</v>
      </c>
      <c r="D130" s="106">
        <f>7+7.1+7</f>
        <v>21.1</v>
      </c>
      <c r="E130" s="107">
        <f>D130/D129*100</f>
        <v>25.575757575757578</v>
      </c>
      <c r="F130" s="107">
        <f>D130/B130*100</f>
        <v>49.76415094339623</v>
      </c>
      <c r="G130" s="107">
        <f t="shared" si="14"/>
        <v>4.1307752545027405</v>
      </c>
      <c r="H130" s="105">
        <f t="shared" si="18"/>
        <v>21.299999999999997</v>
      </c>
      <c r="I130" s="105">
        <f t="shared" si="16"/>
        <v>489.7</v>
      </c>
      <c r="K130" s="156"/>
      <c r="L130" s="102"/>
    </row>
    <row r="131" spans="1:12" s="115" customFormat="1" ht="36.75">
      <c r="A131" s="108" t="s">
        <v>103</v>
      </c>
      <c r="B131" s="109">
        <v>110</v>
      </c>
      <c r="C131" s="110">
        <v>485</v>
      </c>
      <c r="D131" s="111"/>
      <c r="E131" s="114">
        <f>D131/D107*100</f>
        <v>0</v>
      </c>
      <c r="F131" s="112">
        <f t="shared" si="17"/>
        <v>0</v>
      </c>
      <c r="G131" s="100">
        <f t="shared" si="14"/>
        <v>0</v>
      </c>
      <c r="H131" s="101">
        <f t="shared" si="18"/>
        <v>110</v>
      </c>
      <c r="I131" s="101">
        <f t="shared" si="16"/>
        <v>485</v>
      </c>
      <c r="K131" s="156"/>
      <c r="L131" s="102"/>
    </row>
    <row r="132" spans="1:12" s="116" customFormat="1" ht="18" hidden="1">
      <c r="A132" s="113" t="s">
        <v>43</v>
      </c>
      <c r="B132" s="104"/>
      <c r="C132" s="105"/>
      <c r="D132" s="106"/>
      <c r="E132" s="107"/>
      <c r="F132" s="107" t="e">
        <f>D132/B132*100</f>
        <v>#DIV/0!</v>
      </c>
      <c r="G132" s="107" t="e">
        <f t="shared" si="14"/>
        <v>#DIV/0!</v>
      </c>
      <c r="H132" s="105">
        <f t="shared" si="18"/>
        <v>0</v>
      </c>
      <c r="I132" s="105">
        <f t="shared" si="16"/>
        <v>0</v>
      </c>
      <c r="K132" s="156"/>
      <c r="L132" s="102"/>
    </row>
    <row r="133" spans="1:12" s="115" customFormat="1" ht="35.25" customHeight="1" hidden="1">
      <c r="A133" s="108" t="s">
        <v>102</v>
      </c>
      <c r="B133" s="109"/>
      <c r="C133" s="110"/>
      <c r="D133" s="111"/>
      <c r="E133" s="114">
        <f>D133/D107*100</f>
        <v>0</v>
      </c>
      <c r="F133" s="100" t="e">
        <f t="shared" si="17"/>
        <v>#DIV/0!</v>
      </c>
      <c r="G133" s="100" t="e">
        <f t="shared" si="14"/>
        <v>#DIV/0!</v>
      </c>
      <c r="H133" s="101">
        <f t="shared" si="18"/>
        <v>0</v>
      </c>
      <c r="I133" s="101">
        <f>C133-D133</f>
        <v>0</v>
      </c>
      <c r="K133" s="156"/>
      <c r="L133" s="102"/>
    </row>
    <row r="134" spans="1:12" s="115" customFormat="1" ht="21.75" customHeight="1" hidden="1">
      <c r="A134" s="108" t="s">
        <v>101</v>
      </c>
      <c r="B134" s="109"/>
      <c r="C134" s="110"/>
      <c r="D134" s="111"/>
      <c r="E134" s="114">
        <f>D134/D107*100</f>
        <v>0</v>
      </c>
      <c r="F134" s="100" t="e">
        <f t="shared" si="17"/>
        <v>#DIV/0!</v>
      </c>
      <c r="G134" s="100" t="e">
        <f t="shared" si="14"/>
        <v>#DIV/0!</v>
      </c>
      <c r="H134" s="101">
        <f t="shared" si="18"/>
        <v>0</v>
      </c>
      <c r="I134" s="101">
        <f t="shared" si="16"/>
        <v>0</v>
      </c>
      <c r="K134" s="156"/>
      <c r="L134" s="102"/>
    </row>
    <row r="135" spans="1:12" s="115" customFormat="1" ht="35.25" customHeight="1">
      <c r="A135" s="108" t="s">
        <v>87</v>
      </c>
      <c r="B135" s="109">
        <v>105</v>
      </c>
      <c r="C135" s="110">
        <v>383.2</v>
      </c>
      <c r="D135" s="111">
        <f>2.9+1.5</f>
        <v>4.4</v>
      </c>
      <c r="E135" s="114">
        <f>D135/D107*100</f>
        <v>0.007916830101227469</v>
      </c>
      <c r="F135" s="100">
        <f t="shared" si="17"/>
        <v>4.190476190476191</v>
      </c>
      <c r="G135" s="100">
        <f t="shared" si="14"/>
        <v>1.1482254697286014</v>
      </c>
      <c r="H135" s="101">
        <f t="shared" si="18"/>
        <v>100.6</v>
      </c>
      <c r="I135" s="101">
        <f t="shared" si="16"/>
        <v>378.8</v>
      </c>
      <c r="K135" s="156"/>
      <c r="L135" s="102"/>
    </row>
    <row r="136" spans="1:12" s="115" customFormat="1" ht="39" customHeight="1">
      <c r="A136" s="108" t="s">
        <v>54</v>
      </c>
      <c r="B136" s="109">
        <v>40</v>
      </c>
      <c r="C136" s="110">
        <v>350</v>
      </c>
      <c r="D136" s="111"/>
      <c r="E136" s="114">
        <f>D136/D107*100</f>
        <v>0</v>
      </c>
      <c r="F136" s="100">
        <f t="shared" si="17"/>
        <v>0</v>
      </c>
      <c r="G136" s="100">
        <f t="shared" si="14"/>
        <v>0</v>
      </c>
      <c r="H136" s="101">
        <f t="shared" si="18"/>
        <v>40</v>
      </c>
      <c r="I136" s="101">
        <f t="shared" si="16"/>
        <v>350</v>
      </c>
      <c r="K136" s="156"/>
      <c r="L136" s="102"/>
    </row>
    <row r="137" spans="1:12" s="116" customFormat="1" ht="18">
      <c r="A137" s="103" t="s">
        <v>88</v>
      </c>
      <c r="B137" s="104">
        <v>15</v>
      </c>
      <c r="C137" s="105">
        <v>110</v>
      </c>
      <c r="D137" s="106"/>
      <c r="E137" s="107"/>
      <c r="F137" s="100">
        <f>D137/B137*100</f>
        <v>0</v>
      </c>
      <c r="G137" s="107">
        <f>D137/C137*100</f>
        <v>0</v>
      </c>
      <c r="H137" s="105">
        <f>B137-D137</f>
        <v>15</v>
      </c>
      <c r="I137" s="105">
        <f>C137-D137</f>
        <v>110</v>
      </c>
      <c r="K137" s="156"/>
      <c r="L137" s="102"/>
    </row>
    <row r="138" spans="1:12" s="115" customFormat="1" ht="32.25" customHeight="1">
      <c r="A138" s="108" t="s">
        <v>84</v>
      </c>
      <c r="B138" s="109">
        <v>263.3</v>
      </c>
      <c r="C138" s="110">
        <v>607.7</v>
      </c>
      <c r="D138" s="111">
        <f>76+0.3+41+44+1.8</f>
        <v>163.10000000000002</v>
      </c>
      <c r="E138" s="114">
        <f>D138/D107*100</f>
        <v>0.29346249761595455</v>
      </c>
      <c r="F138" s="100">
        <f>D138/B138*100</f>
        <v>61.94454994303077</v>
      </c>
      <c r="G138" s="100">
        <f>D138/C138*100</f>
        <v>26.838900773407932</v>
      </c>
      <c r="H138" s="101">
        <f t="shared" si="18"/>
        <v>100.19999999999999</v>
      </c>
      <c r="I138" s="101">
        <f t="shared" si="16"/>
        <v>444.6</v>
      </c>
      <c r="K138" s="175"/>
      <c r="L138" s="176"/>
    </row>
    <row r="139" spans="1:12" s="116" customFormat="1" ht="18">
      <c r="A139" s="103" t="s">
        <v>25</v>
      </c>
      <c r="B139" s="104">
        <v>220.2</v>
      </c>
      <c r="C139" s="105">
        <v>489.6</v>
      </c>
      <c r="D139" s="106">
        <f>76+37.6+44</f>
        <v>157.6</v>
      </c>
      <c r="E139" s="107">
        <f>D139/D138*100</f>
        <v>96.62783568362966</v>
      </c>
      <c r="F139" s="107">
        <f t="shared" si="17"/>
        <v>71.57129881925522</v>
      </c>
      <c r="G139" s="107">
        <f>D139/C139*100</f>
        <v>32.18954248366013</v>
      </c>
      <c r="H139" s="105">
        <f t="shared" si="18"/>
        <v>62.599999999999994</v>
      </c>
      <c r="I139" s="105">
        <f t="shared" si="16"/>
        <v>332</v>
      </c>
      <c r="K139" s="175"/>
      <c r="L139" s="176"/>
    </row>
    <row r="140" spans="1:12" s="115" customFormat="1" ht="18">
      <c r="A140" s="108" t="s">
        <v>96</v>
      </c>
      <c r="B140" s="109">
        <v>570.2</v>
      </c>
      <c r="C140" s="110">
        <v>1760</v>
      </c>
      <c r="D140" s="111">
        <f>107.3+0.4+30.4+78.2+4.1+36.9+117.9+50.5</f>
        <v>425.70000000000005</v>
      </c>
      <c r="E140" s="114">
        <f>D140/D107*100</f>
        <v>0.7659533122937576</v>
      </c>
      <c r="F140" s="100">
        <f t="shared" si="17"/>
        <v>74.65801473167309</v>
      </c>
      <c r="G140" s="100">
        <f t="shared" si="14"/>
        <v>24.187500000000004</v>
      </c>
      <c r="H140" s="101">
        <f t="shared" si="18"/>
        <v>144.5</v>
      </c>
      <c r="I140" s="101">
        <f t="shared" si="16"/>
        <v>1334.3</v>
      </c>
      <c r="K140" s="175"/>
      <c r="L140" s="176"/>
    </row>
    <row r="141" spans="1:12" s="116" customFormat="1" ht="18">
      <c r="A141" s="113" t="s">
        <v>43</v>
      </c>
      <c r="B141" s="104">
        <v>459.3</v>
      </c>
      <c r="C141" s="105">
        <v>1437.4</v>
      </c>
      <c r="D141" s="106">
        <f>107.3+25.4+76+34+76.6+47.2</f>
        <v>366.49999999999994</v>
      </c>
      <c r="E141" s="107">
        <f>D141/D140*100</f>
        <v>86.09349307023723</v>
      </c>
      <c r="F141" s="107">
        <f aca="true" t="shared" si="19" ref="F141:F150">D141/B141*100</f>
        <v>79.79534073590244</v>
      </c>
      <c r="G141" s="107">
        <f t="shared" si="14"/>
        <v>25.497425907889237</v>
      </c>
      <c r="H141" s="105">
        <f t="shared" si="18"/>
        <v>92.80000000000007</v>
      </c>
      <c r="I141" s="105">
        <f t="shared" si="16"/>
        <v>1070.9</v>
      </c>
      <c r="K141" s="175"/>
      <c r="L141" s="176"/>
    </row>
    <row r="142" spans="1:13" s="116" customFormat="1" ht="18">
      <c r="A142" s="103" t="s">
        <v>25</v>
      </c>
      <c r="B142" s="104">
        <v>26.2</v>
      </c>
      <c r="C142" s="105">
        <v>40</v>
      </c>
      <c r="D142" s="106">
        <f>0.4+4.9+0.7+4.7+3.3</f>
        <v>14</v>
      </c>
      <c r="E142" s="107">
        <f>D142/D140*100</f>
        <v>3.2887009631195676</v>
      </c>
      <c r="F142" s="107">
        <f t="shared" si="19"/>
        <v>53.43511450381679</v>
      </c>
      <c r="G142" s="107">
        <f>D142/C142*100</f>
        <v>35</v>
      </c>
      <c r="H142" s="105">
        <f t="shared" si="18"/>
        <v>12.2</v>
      </c>
      <c r="I142" s="105">
        <f t="shared" si="16"/>
        <v>26</v>
      </c>
      <c r="K142" s="175"/>
      <c r="L142" s="176"/>
      <c r="M142" s="157"/>
    </row>
    <row r="143" spans="1:12" s="115" customFormat="1" ht="33.75" customHeight="1" hidden="1">
      <c r="A143" s="119" t="s">
        <v>56</v>
      </c>
      <c r="B143" s="109"/>
      <c r="C143" s="110"/>
      <c r="D143" s="111"/>
      <c r="E143" s="114">
        <f>D143/D107*100</f>
        <v>0</v>
      </c>
      <c r="F143" s="100" t="e">
        <f t="shared" si="19"/>
        <v>#DIV/0!</v>
      </c>
      <c r="G143" s="100" t="e">
        <f t="shared" si="14"/>
        <v>#DIV/0!</v>
      </c>
      <c r="H143" s="101">
        <f t="shared" si="18"/>
        <v>0</v>
      </c>
      <c r="I143" s="101">
        <f t="shared" si="16"/>
        <v>0</v>
      </c>
      <c r="K143" s="175"/>
      <c r="L143" s="176"/>
    </row>
    <row r="144" spans="1:12" s="115" customFormat="1" ht="18" hidden="1">
      <c r="A144" s="119" t="s">
        <v>92</v>
      </c>
      <c r="B144" s="109"/>
      <c r="C144" s="110"/>
      <c r="D144" s="111"/>
      <c r="E144" s="114">
        <f>D144/D107*100</f>
        <v>0</v>
      </c>
      <c r="F144" s="100" t="e">
        <f>D144/B144*100</f>
        <v>#DIV/0!</v>
      </c>
      <c r="G144" s="100" t="e">
        <f t="shared" si="14"/>
        <v>#DIV/0!</v>
      </c>
      <c r="H144" s="101">
        <f t="shared" si="18"/>
        <v>0</v>
      </c>
      <c r="I144" s="101">
        <f t="shared" si="16"/>
        <v>0</v>
      </c>
      <c r="K144" s="175"/>
      <c r="L144" s="176"/>
    </row>
    <row r="145" spans="1:12" s="115" customFormat="1" ht="18">
      <c r="A145" s="119" t="s">
        <v>97</v>
      </c>
      <c r="B145" s="109">
        <f>14516.5-1122.3</f>
        <v>13394.2</v>
      </c>
      <c r="C145" s="110">
        <f>56447.1-100+1500</f>
        <v>57847.1</v>
      </c>
      <c r="D145" s="111">
        <f>254.7+197.5+629.8+725.8+539.8+84+74.2+508.7+16.5+120.5+1481.6+832.6+99.5+375.2</f>
        <v>5940.4</v>
      </c>
      <c r="E145" s="114">
        <f>D145/D107*100</f>
        <v>10.688440348484466</v>
      </c>
      <c r="F145" s="100">
        <f t="shared" si="19"/>
        <v>44.350539785877466</v>
      </c>
      <c r="G145" s="100">
        <f t="shared" si="14"/>
        <v>10.269140544642687</v>
      </c>
      <c r="H145" s="101">
        <f t="shared" si="18"/>
        <v>7453.800000000001</v>
      </c>
      <c r="I145" s="101">
        <f t="shared" si="16"/>
        <v>51906.7</v>
      </c>
      <c r="K145" s="175"/>
      <c r="L145" s="176"/>
    </row>
    <row r="146" spans="1:12" s="115" customFormat="1" ht="18" hidden="1">
      <c r="A146" s="119" t="s">
        <v>86</v>
      </c>
      <c r="B146" s="109"/>
      <c r="C146" s="110"/>
      <c r="D146" s="111"/>
      <c r="E146" s="114">
        <f>D146/D107*100</f>
        <v>0</v>
      </c>
      <c r="F146" s="100" t="e">
        <f t="shared" si="19"/>
        <v>#DIV/0!</v>
      </c>
      <c r="G146" s="100" t="e">
        <f t="shared" si="14"/>
        <v>#DIV/0!</v>
      </c>
      <c r="H146" s="101">
        <f t="shared" si="18"/>
        <v>0</v>
      </c>
      <c r="I146" s="101">
        <f t="shared" si="16"/>
        <v>0</v>
      </c>
      <c r="K146" s="175"/>
      <c r="L146" s="176"/>
    </row>
    <row r="147" spans="1:12" s="115" customFormat="1" ht="36.75" hidden="1">
      <c r="A147" s="119" t="s">
        <v>104</v>
      </c>
      <c r="B147" s="109"/>
      <c r="C147" s="110"/>
      <c r="D147" s="111"/>
      <c r="E147" s="114">
        <f>D147/D109*100</f>
        <v>0</v>
      </c>
      <c r="F147" s="100" t="e">
        <f>D147/B147*100</f>
        <v>#DIV/0!</v>
      </c>
      <c r="G147" s="100" t="e">
        <f>D147/C147*100</f>
        <v>#DIV/0!</v>
      </c>
      <c r="H147" s="101">
        <f>B147-D147</f>
        <v>0</v>
      </c>
      <c r="I147" s="101">
        <f>C147-D147</f>
        <v>0</v>
      </c>
      <c r="K147" s="175"/>
      <c r="L147" s="176"/>
    </row>
    <row r="148" spans="1:12" s="115" customFormat="1" ht="18">
      <c r="A148" s="108" t="s">
        <v>98</v>
      </c>
      <c r="B148" s="109">
        <v>46.4</v>
      </c>
      <c r="C148" s="110">
        <v>162.3</v>
      </c>
      <c r="D148" s="111">
        <f>46.4</f>
        <v>46.4</v>
      </c>
      <c r="E148" s="114">
        <f>D148/D107*100</f>
        <v>0.08348657197658058</v>
      </c>
      <c r="F148" s="100">
        <f t="shared" si="19"/>
        <v>100</v>
      </c>
      <c r="G148" s="100">
        <f t="shared" si="14"/>
        <v>28.58903265557609</v>
      </c>
      <c r="H148" s="101">
        <f t="shared" si="18"/>
        <v>0</v>
      </c>
      <c r="I148" s="101">
        <f t="shared" si="16"/>
        <v>115.9</v>
      </c>
      <c r="K148" s="175"/>
      <c r="L148" s="176"/>
    </row>
    <row r="149" spans="1:12" s="115" customFormat="1" ht="18" customHeight="1">
      <c r="A149" s="108" t="s">
        <v>77</v>
      </c>
      <c r="B149" s="109">
        <v>4460.2</v>
      </c>
      <c r="C149" s="110">
        <f>10563.8+657.7</f>
        <v>11221.5</v>
      </c>
      <c r="D149" s="111">
        <f>791.9+575.3+777.6+830.9+722.1</f>
        <v>3697.7999999999997</v>
      </c>
      <c r="E149" s="114">
        <f>D149/D107*100</f>
        <v>6.653375988254302</v>
      </c>
      <c r="F149" s="100">
        <f t="shared" si="19"/>
        <v>82.90659611676607</v>
      </c>
      <c r="G149" s="100">
        <f t="shared" si="14"/>
        <v>32.9528137949472</v>
      </c>
      <c r="H149" s="101">
        <f t="shared" si="18"/>
        <v>762.4000000000001</v>
      </c>
      <c r="I149" s="101">
        <f t="shared" si="16"/>
        <v>7523.700000000001</v>
      </c>
      <c r="K149" s="175"/>
      <c r="L149" s="176"/>
    </row>
    <row r="150" spans="1:12" s="115" customFormat="1" ht="19.5" customHeight="1">
      <c r="A150" s="149" t="s">
        <v>50</v>
      </c>
      <c r="B150" s="150">
        <f>70256.5+500</f>
        <v>70756.5</v>
      </c>
      <c r="C150" s="151">
        <f>321056.7-1304.9</f>
        <v>319751.8</v>
      </c>
      <c r="D150" s="152">
        <f>27.8+914.6+10874.2+1188.7+864.1+301.6+376.8+206.4+1075.1+354</f>
        <v>16183.300000000001</v>
      </c>
      <c r="E150" s="153">
        <f>D150/D107*100</f>
        <v>29.118281040271476</v>
      </c>
      <c r="F150" s="154">
        <f t="shared" si="19"/>
        <v>22.871820963445057</v>
      </c>
      <c r="G150" s="154">
        <f t="shared" si="14"/>
        <v>5.061206848561916</v>
      </c>
      <c r="H150" s="155">
        <f t="shared" si="18"/>
        <v>54573.2</v>
      </c>
      <c r="I150" s="155">
        <f>C150-D150</f>
        <v>303568.5</v>
      </c>
      <c r="K150" s="175"/>
      <c r="L150" s="176"/>
    </row>
    <row r="151" spans="1:12" s="115" customFormat="1" ht="18">
      <c r="A151" s="108" t="s">
        <v>99</v>
      </c>
      <c r="B151" s="109">
        <v>14077.6</v>
      </c>
      <c r="C151" s="110">
        <v>42232</v>
      </c>
      <c r="D151" s="111">
        <f>819+819+819.1+1062.3+1173.1+1173.1+1173.2+1173.1+1173.1+1173.2+1173.1</f>
        <v>11731.300000000001</v>
      </c>
      <c r="E151" s="114">
        <f>D151/D107*100</f>
        <v>21.107888401484047</v>
      </c>
      <c r="F151" s="100">
        <f t="shared" si="17"/>
        <v>83.33309655054839</v>
      </c>
      <c r="G151" s="100">
        <f t="shared" si="14"/>
        <v>27.778225042621713</v>
      </c>
      <c r="H151" s="101">
        <f t="shared" si="18"/>
        <v>2346.2999999999993</v>
      </c>
      <c r="I151" s="101">
        <f t="shared" si="16"/>
        <v>30500.699999999997</v>
      </c>
      <c r="K151" s="175"/>
      <c r="L151" s="176"/>
    </row>
    <row r="152" spans="1:12" s="2" customFormat="1" ht="18.75" thickBot="1">
      <c r="A152" s="29" t="s">
        <v>29</v>
      </c>
      <c r="B152" s="63"/>
      <c r="C152" s="63"/>
      <c r="D152" s="44">
        <f>D43+D69+D72+D77+D79+D87+D102+D107+D100+D84+D98</f>
        <v>58811.3</v>
      </c>
      <c r="E152" s="15"/>
      <c r="F152" s="15"/>
      <c r="G152" s="6"/>
      <c r="H152" s="52"/>
      <c r="I152" s="44"/>
      <c r="K152" s="175"/>
      <c r="L152" s="177"/>
    </row>
    <row r="153" spans="1:12" ht="18.75" thickBot="1">
      <c r="A153" s="12" t="s">
        <v>18</v>
      </c>
      <c r="B153" s="40">
        <f>B6+B18+B33+B43+B51+B59+B69+B72+B77+B79+B87+B90+B95+B102+B107+B100+B84+B98+B45</f>
        <v>662305.1000000001</v>
      </c>
      <c r="C153" s="40">
        <f>C6+C18+C33+C43+C51+C59+C69+C72+C77+C79+C87+C90+C95+C102+C107+C100+C84+C98+C45</f>
        <v>2108759.3</v>
      </c>
      <c r="D153" s="40">
        <f>D6+D18+D33+D43+D51+D59+D69+D72+D77+D79+D87+D90+D95+D102+D107+D100+D84+D98+D45</f>
        <v>476621.39999999997</v>
      </c>
      <c r="E153" s="28">
        <v>100</v>
      </c>
      <c r="F153" s="3">
        <f>D153/B153*100</f>
        <v>71.96402383131277</v>
      </c>
      <c r="G153" s="3">
        <f aca="true" t="shared" si="20" ref="G153:G159">D153/C153*100</f>
        <v>22.601982122853</v>
      </c>
      <c r="H153" s="40">
        <f aca="true" t="shared" si="21" ref="H153:H159">B153-D153</f>
        <v>185683.70000000013</v>
      </c>
      <c r="I153" s="40">
        <f aca="true" t="shared" si="22" ref="I153:I159">C153-D153</f>
        <v>1632137.9</v>
      </c>
      <c r="K153" s="178"/>
      <c r="L153" s="179"/>
    </row>
    <row r="154" spans="1:12" ht="18">
      <c r="A154" s="16" t="s">
        <v>5</v>
      </c>
      <c r="B154" s="51">
        <f>B8+B20+B34+B52+B60+B91+B115+B119+B46+B141+B132+B103</f>
        <v>283412.7</v>
      </c>
      <c r="C154" s="51">
        <f>C8+C20+C34+C52+C60+C91+C115+C119+C46+C141+C132+C103</f>
        <v>898180.8</v>
      </c>
      <c r="D154" s="51">
        <f>D8+D20+D34+D52+D60+D91+D115+D119+D46+D141+D132+D103</f>
        <v>231808.31000000003</v>
      </c>
      <c r="E154" s="6">
        <f>D154/D153*100</f>
        <v>48.63573268006851</v>
      </c>
      <c r="F154" s="6">
        <f aca="true" t="shared" si="23" ref="F154:F159">D154/B154*100</f>
        <v>81.79178632432492</v>
      </c>
      <c r="G154" s="6">
        <f t="shared" si="20"/>
        <v>25.808646766887023</v>
      </c>
      <c r="H154" s="52">
        <f t="shared" si="21"/>
        <v>51604.389999999985</v>
      </c>
      <c r="I154" s="62">
        <f t="shared" si="22"/>
        <v>666372.49</v>
      </c>
      <c r="K154" s="175"/>
      <c r="L154" s="179"/>
    </row>
    <row r="155" spans="1:12" ht="18">
      <c r="A155" s="16" t="s">
        <v>0</v>
      </c>
      <c r="B155" s="52">
        <f>B11+B23+B36+B55+B62+B92+B49+B142+B109+B112+B96+B139+B128</f>
        <v>58505.2</v>
      </c>
      <c r="C155" s="52">
        <f>C11+C23+C36+C55+C62+C92+C49+C142+C109+C112+C96+C139+C128</f>
        <v>110563.99999999999</v>
      </c>
      <c r="D155" s="52">
        <f>D11+D23+D36+D55+D62+D92+D49+D142+D109+D112+D96+D139+D128</f>
        <v>47369.299999999996</v>
      </c>
      <c r="E155" s="6">
        <f>D155/D153*100</f>
        <v>9.938559200237338</v>
      </c>
      <c r="F155" s="6">
        <f t="shared" si="23"/>
        <v>80.96596541845852</v>
      </c>
      <c r="G155" s="6">
        <f t="shared" si="20"/>
        <v>42.84333055967585</v>
      </c>
      <c r="H155" s="52">
        <f>B155-D155</f>
        <v>11135.900000000001</v>
      </c>
      <c r="I155" s="62">
        <f t="shared" si="22"/>
        <v>63194.69999999999</v>
      </c>
      <c r="K155" s="156"/>
      <c r="L155" s="69"/>
    </row>
    <row r="156" spans="1:12" ht="18">
      <c r="A156" s="16" t="s">
        <v>1</v>
      </c>
      <c r="B156" s="51">
        <f>B22+B10+B54+B48+B61+B35+B123</f>
        <v>15644.699999999999</v>
      </c>
      <c r="C156" s="51">
        <f>C22+C10+C54+C48+C61+C35+C123</f>
        <v>45935.1</v>
      </c>
      <c r="D156" s="51">
        <f>D22+D10+D54+D48+D61+D35+D123</f>
        <v>7965.799999999999</v>
      </c>
      <c r="E156" s="6">
        <f>D156/D153*100</f>
        <v>1.6713055687386256</v>
      </c>
      <c r="F156" s="6">
        <f t="shared" si="23"/>
        <v>50.91692394229356</v>
      </c>
      <c r="G156" s="6">
        <f t="shared" si="20"/>
        <v>17.341423007678223</v>
      </c>
      <c r="H156" s="52">
        <f t="shared" si="21"/>
        <v>7678.9</v>
      </c>
      <c r="I156" s="62">
        <f t="shared" si="22"/>
        <v>37969.3</v>
      </c>
      <c r="K156" s="156"/>
      <c r="L156" s="33"/>
    </row>
    <row r="157" spans="1:12" ht="21" customHeight="1">
      <c r="A157" s="16" t="s">
        <v>14</v>
      </c>
      <c r="B157" s="51">
        <f>B12+B24+B104+B63+B38+B93+B130+B56+B137</f>
        <v>8418.699999999999</v>
      </c>
      <c r="C157" s="51">
        <f>C12+C24+C104+C63+C38+C93+C130+C56+C137</f>
        <v>28484.199999999997</v>
      </c>
      <c r="D157" s="51">
        <f>D12+D24+D104+D63+D38+D93+D130+D56+D137</f>
        <v>6714</v>
      </c>
      <c r="E157" s="6">
        <f>D157/D153*100</f>
        <v>1.4086652424754744</v>
      </c>
      <c r="F157" s="6">
        <f t="shared" si="23"/>
        <v>79.75103044413035</v>
      </c>
      <c r="G157" s="6">
        <f t="shared" si="20"/>
        <v>23.570962147436127</v>
      </c>
      <c r="H157" s="52">
        <f>B157-D157</f>
        <v>1704.699999999999</v>
      </c>
      <c r="I157" s="62">
        <f t="shared" si="22"/>
        <v>21770.199999999997</v>
      </c>
      <c r="K157" s="156"/>
      <c r="L157" s="69"/>
    </row>
    <row r="158" spans="1:12" ht="18">
      <c r="A158" s="16" t="s">
        <v>2</v>
      </c>
      <c r="B158" s="51">
        <f>B9+B21+B47+B53+B122</f>
        <v>31.6</v>
      </c>
      <c r="C158" s="51">
        <f>C9+C21+C47+C53+C122</f>
        <v>113.10000000000001</v>
      </c>
      <c r="D158" s="51">
        <f>D9+D21+D47+D53+D122</f>
        <v>8.8</v>
      </c>
      <c r="E158" s="6">
        <f>D158/D153*100</f>
        <v>0.0018463291828692545</v>
      </c>
      <c r="F158" s="6">
        <f t="shared" si="23"/>
        <v>27.848101265822784</v>
      </c>
      <c r="G158" s="6">
        <f t="shared" si="20"/>
        <v>7.780725022104333</v>
      </c>
      <c r="H158" s="52">
        <f t="shared" si="21"/>
        <v>22.8</v>
      </c>
      <c r="I158" s="62">
        <f t="shared" si="22"/>
        <v>104.30000000000001</v>
      </c>
      <c r="K158" s="156"/>
      <c r="L158" s="33"/>
    </row>
    <row r="159" spans="1:12" ht="18.75" thickBot="1">
      <c r="A159" s="88" t="s">
        <v>27</v>
      </c>
      <c r="B159" s="64">
        <f>B153-B154-B155-B156-B157-B158</f>
        <v>296292.20000000007</v>
      </c>
      <c r="C159" s="64">
        <f>C153-C154-C155-C156-C157-C158</f>
        <v>1025482.0999999997</v>
      </c>
      <c r="D159" s="64">
        <f>D153-D154-D155-D156-D157-D158</f>
        <v>182755.18999999997</v>
      </c>
      <c r="E159" s="31">
        <f>D159/D153*100</f>
        <v>38.34389097929719</v>
      </c>
      <c r="F159" s="31">
        <f t="shared" si="23"/>
        <v>61.680729361083394</v>
      </c>
      <c r="G159" s="31">
        <f t="shared" si="20"/>
        <v>17.821392494320477</v>
      </c>
      <c r="H159" s="89">
        <f t="shared" si="21"/>
        <v>113537.0100000001</v>
      </c>
      <c r="I159" s="89">
        <f t="shared" si="22"/>
        <v>842726.9099999998</v>
      </c>
      <c r="K159" s="156"/>
      <c r="L159" s="69"/>
    </row>
    <row r="160" spans="7:8" ht="12.75">
      <c r="G160" s="18"/>
      <c r="H160" s="18"/>
    </row>
    <row r="161" spans="3:11" ht="12.75">
      <c r="C161" s="156"/>
      <c r="G161" s="18"/>
      <c r="H161" s="18"/>
      <c r="I161" s="18"/>
      <c r="K161" s="95"/>
    </row>
    <row r="162" spans="7:11" ht="12.75">
      <c r="G162" s="18"/>
      <c r="H162" s="18"/>
      <c r="K162" s="95"/>
    </row>
    <row r="163" spans="7:11" ht="12.75">
      <c r="G163" s="18"/>
      <c r="H163" s="18"/>
      <c r="K163" s="95"/>
    </row>
    <row r="164" spans="4:8" ht="12.75">
      <c r="D164" s="156"/>
      <c r="G164" s="18"/>
      <c r="H164" s="18"/>
    </row>
    <row r="165" spans="2:8" ht="12.75">
      <c r="B165" s="160"/>
      <c r="C165" s="161"/>
      <c r="G165" s="18"/>
      <c r="H165" s="18"/>
    </row>
    <row r="166" spans="2:8" ht="12.75">
      <c r="B166" s="92"/>
      <c r="C166" s="92"/>
      <c r="D166" s="92"/>
      <c r="G166" s="18"/>
      <c r="H166" s="18"/>
    </row>
    <row r="167" spans="2:8" ht="12.75">
      <c r="B167" s="92"/>
      <c r="G167" s="18"/>
      <c r="H167" s="18"/>
    </row>
    <row r="168" spans="2:8" ht="12.75">
      <c r="B168" s="92"/>
      <c r="C168" s="156"/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3:8" ht="12.75">
      <c r="C174" s="156"/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9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фінансування'!C153</f>
        <v>2108759.3</v>
      </c>
    </row>
    <row r="2" spans="1:5" ht="15">
      <c r="A2" s="4"/>
      <c r="B2" s="4"/>
      <c r="C2" s="4"/>
      <c r="D2" s="4" t="s">
        <v>31</v>
      </c>
      <c r="E2" s="5">
        <f>'аналіз фінансування'!D153</f>
        <v>476621.39999999997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фінансування'!C153</f>
        <v>2108759.3</v>
      </c>
    </row>
    <row r="2" spans="1:5" ht="15">
      <c r="A2" s="4"/>
      <c r="B2" s="4"/>
      <c r="C2" s="4"/>
      <c r="D2" s="4" t="s">
        <v>31</v>
      </c>
      <c r="E2" s="5">
        <f>'аналіз фінансування'!D153</f>
        <v>476621.39999999997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2018-04-13T09:24:25Z</cp:lastPrinted>
  <dcterms:created xsi:type="dcterms:W3CDTF">2000-06-20T04:48:00Z</dcterms:created>
  <dcterms:modified xsi:type="dcterms:W3CDTF">2018-04-17T04:56:01Z</dcterms:modified>
  <cp:category/>
  <cp:version/>
  <cp:contentType/>
  <cp:contentStatus/>
</cp:coreProperties>
</file>